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1595" windowHeight="5175" firstSheet="5" activeTab="9"/>
  </bookViews>
  <sheets>
    <sheet name="Ejecutivo y Privada 2016" sheetId="1" r:id="rId1"/>
    <sheet name="Gabinete 2016" sheetId="2" r:id="rId2"/>
    <sheet name="Gobierno 2016" sheetId="3" r:id="rId3"/>
    <sheet name="Urbano 2016" sheetId="4" r:id="rId4"/>
    <sheet name="Economía 2016" sheetId="5" r:id="rId5"/>
    <sheet name="Des-Social 2016" sheetId="6" r:id="rId6"/>
    <sheet name="Prevención 2016" sheetId="7" r:id="rId7"/>
    <sheet name="Salud 2016" sheetId="8" r:id="rId8"/>
    <sheet name="U-P 2016" sheetId="9" r:id="rId9"/>
    <sheet name="Ahora los Chicos" sheetId="10" r:id="rId10"/>
    <sheet name="Asesoría Letrada 2016" sheetId="11" r:id="rId11"/>
    <sheet name="Justicia Faltas 2016" sheetId="12" r:id="rId12"/>
    <sheet name="Concejo Deliberante 2016" sheetId="13" r:id="rId13"/>
    <sheet name="Trib-Ctas 2016" sheetId="14" r:id="rId14"/>
    <sheet name="Auditoria 2016" sheetId="15" r:id="rId15"/>
    <sheet name="T-Reclam-Apelac-2016" sheetId="16" r:id="rId16"/>
    <sheet name="Ente Control SM 2016" sheetId="17" r:id="rId17"/>
    <sheet name="T-Admis-Conc-2016" sheetId="18" r:id="rId18"/>
    <sheet name="CAM 2016" sheetId="19" r:id="rId19"/>
    <sheet name="JUSTICIA ELECTORAL 2016" sheetId="20" r:id="rId20"/>
    <sheet name="Ingresos-2016" sheetId="21" r:id="rId21"/>
  </sheets>
  <definedNames>
    <definedName name="_xlnm.Print_Area" localSheetId="9">'Ahora los Chicos'!$A$1:$E$33</definedName>
    <definedName name="_xlnm.Print_Area" localSheetId="10">'Asesoría Letrada 2016'!$A$1:$E$120</definedName>
    <definedName name="_xlnm.Print_Area" localSheetId="14">'Auditoria 2016'!$A$1:$E$88</definedName>
    <definedName name="_xlnm.Print_Area" localSheetId="18">'CAM 2016'!$A$1:$E$49</definedName>
    <definedName name="_xlnm.Print_Area" localSheetId="12">'Concejo Deliberante 2016'!$A$1:$E$199</definedName>
    <definedName name="_xlnm.Print_Area" localSheetId="5">'Des-Social 2016'!$A$1:$E$364</definedName>
    <definedName name="_xlnm.Print_Area" localSheetId="4">'Economía 2016'!$A$1:$E$438</definedName>
    <definedName name="_xlnm.Print_Area" localSheetId="0">'Ejecutivo y Privada 2016'!$A$1:$E$223</definedName>
    <definedName name="_xlnm.Print_Area" localSheetId="16">'Ente Control SM 2016'!$A$1:$E$36</definedName>
    <definedName name="_xlnm.Print_Area" localSheetId="1">'Gabinete 2016'!$A$1:$E$353</definedName>
    <definedName name="_xlnm.Print_Area" localSheetId="2">'Gobierno 2016'!$A$1:$E$316</definedName>
    <definedName name="_xlnm.Print_Area" localSheetId="19">'JUSTICIA ELECTORAL 2016'!$A$1:$E$33</definedName>
    <definedName name="_xlnm.Print_Area" localSheetId="11">'Justicia Faltas 2016'!$A$1:$E$189</definedName>
    <definedName name="_xlnm.Print_Area" localSheetId="6">'Prevención 2016'!$A$1:$E$342</definedName>
    <definedName name="_xlnm.Print_Area" localSheetId="7">'Salud 2016'!$A$1:$E$320</definedName>
    <definedName name="_xlnm.Print_Area" localSheetId="17">'T-Admis-Conc-2016'!$A$1:$E$36</definedName>
    <definedName name="_xlnm.Print_Area" localSheetId="15">'T-Reclam-Apelac-2016'!$A$1:$E$32</definedName>
    <definedName name="_xlnm.Print_Area" localSheetId="13">'Trib-Ctas 2016'!$A$1:$E$78</definedName>
    <definedName name="_xlnm.Print_Area" localSheetId="8">'U-P 2016'!$A$1:$E$592</definedName>
    <definedName name="_xlnm.Print_Area" localSheetId="3">'Urbano 2016'!$A$1:$E$469</definedName>
  </definedNames>
  <calcPr fullCalcOnLoad="1"/>
</workbook>
</file>

<file path=xl/sharedStrings.xml><?xml version="1.0" encoding="utf-8"?>
<sst xmlns="http://schemas.openxmlformats.org/spreadsheetml/2006/main" count="7496" uniqueCount="1457">
  <si>
    <t>COSTO TOTAL PROGRAMA:</t>
  </si>
  <si>
    <t>PERSONAL</t>
  </si>
  <si>
    <t>BIENES DE CONSUMO</t>
  </si>
  <si>
    <t>SERVICIOS</t>
  </si>
  <si>
    <t>BIENES DE CAPITAL</t>
  </si>
  <si>
    <t>TRANSFERENCIAS</t>
  </si>
  <si>
    <t>CÓDIGO:</t>
  </si>
  <si>
    <t>Otros Servicios</t>
  </si>
  <si>
    <t>Locaciones y Contrataciones Varias</t>
  </si>
  <si>
    <t>Muebles y  Equipos de Oficina</t>
  </si>
  <si>
    <t>UNIDAD EJECUTORA: Departamento Ejecutivo.</t>
  </si>
  <si>
    <t>DURACION ESTIMADA: 12 meses.</t>
  </si>
  <si>
    <t>Subsidios a Entregar</t>
  </si>
  <si>
    <t>PROGRAMA: COMUNICACIÓN, PRENSA Y DIFUSIÓN</t>
  </si>
  <si>
    <t>acciones e instrumentación de programas de gobierno.</t>
  </si>
  <si>
    <t>áreas que lo componen.</t>
  </si>
  <si>
    <t>DURACIÓN ESTIMADA: 12 meses.</t>
  </si>
  <si>
    <t>COSTO TOTAL DEL PROGRAMA:</t>
  </si>
  <si>
    <t>Alquileres Varios</t>
  </si>
  <si>
    <t>Transferencia Escuela Granja "Los Amigos"</t>
  </si>
  <si>
    <t>Transferencia IMV - Instituto Municipal de la Vivienda</t>
  </si>
  <si>
    <t>Transferencia IMI - Instituto Municipal de Inversión</t>
  </si>
  <si>
    <t xml:space="preserve">de las áreas hacia el logro de los objetivos planteados en la Plataforma de Gobierno. </t>
  </si>
  <si>
    <t>Otros Gastos en Personal Permanente</t>
  </si>
  <si>
    <t>Sueldos y Salarios Personal Permanente</t>
  </si>
  <si>
    <t>Asignaciones Familiares Personal Permanente</t>
  </si>
  <si>
    <t>Contribuciones Patronales Personal Permanente</t>
  </si>
  <si>
    <t>2.1.1.1.01.01</t>
  </si>
  <si>
    <t>2.1.1.1.01.02</t>
  </si>
  <si>
    <t>2.1.1.1.01.03</t>
  </si>
  <si>
    <t>2.1.1.1.01.04</t>
  </si>
  <si>
    <t>2.1.1.1.01.05</t>
  </si>
  <si>
    <t>2.1.1.1.01.06</t>
  </si>
  <si>
    <t>Asignaciones Familiares Autoridades y Personal Directivo</t>
  </si>
  <si>
    <t>2.1.1.1.02.01</t>
  </si>
  <si>
    <t>2.1.1.1.02.02</t>
  </si>
  <si>
    <t>2.1.1.1.02.03</t>
  </si>
  <si>
    <t>2.1.1.1.02.04</t>
  </si>
  <si>
    <t>2.1.1.1.02.05</t>
  </si>
  <si>
    <t>Sueldos y Salarios Personal Contratado</t>
  </si>
  <si>
    <t>Asignaciones Familiares Personal Contratado</t>
  </si>
  <si>
    <t>Contribuciones Patronales Personal Contratado</t>
  </si>
  <si>
    <t>Otros Gastos en Personal Contratado</t>
  </si>
  <si>
    <t>2.1.1.1.03.01</t>
  </si>
  <si>
    <t>2.1.1.1.03.02</t>
  </si>
  <si>
    <t>2.1.1.1.03.03</t>
  </si>
  <si>
    <t>2.1.1.1.03.04</t>
  </si>
  <si>
    <t>2.1.1.1.03.05</t>
  </si>
  <si>
    <t>2.1.1.1.03.06</t>
  </si>
  <si>
    <t>Racionamiento, Alimentos y Productos Alimenticios para Personas</t>
  </si>
  <si>
    <t>2.1.1.2.01.01</t>
  </si>
  <si>
    <t>2.1.1.2.04.01</t>
  </si>
  <si>
    <t>Útiles, Artículos de Librería, Insumos Informáticos</t>
  </si>
  <si>
    <t xml:space="preserve">2.1.1.3.05.02       </t>
  </si>
  <si>
    <t>Pasajes, Viáticos y Movilidad</t>
  </si>
  <si>
    <t>Equipos de Computación, Softwares y Licencias de Computación</t>
  </si>
  <si>
    <t>Otros Bienes de Capital no Especificados</t>
  </si>
  <si>
    <t>2.1.1.3.02.04</t>
  </si>
  <si>
    <t>2.1.1.3.06.03</t>
  </si>
  <si>
    <t>Imprenta, Publicaciones y Reproducciones</t>
  </si>
  <si>
    <t>2.1.1.3.07.01</t>
  </si>
  <si>
    <t>Publicidad y Propaganda</t>
  </si>
  <si>
    <t>2.2.1.1.04.04</t>
  </si>
  <si>
    <t>Aparatos Audio-Visuales y Electrónicos Varios</t>
  </si>
  <si>
    <t>2.1.1.4.01.01</t>
  </si>
  <si>
    <t>2.1.1.4.01.02</t>
  </si>
  <si>
    <t>2.1.1.4.01.03</t>
  </si>
  <si>
    <t>Otras Transferencias al Sector Público</t>
  </si>
  <si>
    <t>2.1.1.4.01.08</t>
  </si>
  <si>
    <t>Trámites y Gastos Varios</t>
  </si>
  <si>
    <t>Elementos de Limpieza e Higiene</t>
  </si>
  <si>
    <t>Productos de Artes Gráficas</t>
  </si>
  <si>
    <t>2.1.1.2.03.01</t>
  </si>
  <si>
    <t>Libros, Revistas y Periódicos</t>
  </si>
  <si>
    <t>Repuestos y Accesorios de Equipos y Sistemas Informáticos y de Comunicación en General</t>
  </si>
  <si>
    <t>Premios, Obsequios, Presentes, Otros</t>
  </si>
  <si>
    <t>Obras de Arte</t>
  </si>
  <si>
    <t>Mantenimiento y Reparaciones Varias</t>
  </si>
  <si>
    <t>Materiales Conservaciones Varias</t>
  </si>
  <si>
    <t>Suscripciones</t>
  </si>
  <si>
    <t>Administrar los bienes municipales, realizar las obras públicas y prestar los servicios públicos de naturaleza</t>
  </si>
  <si>
    <t xml:space="preserve">e interés municipal. </t>
  </si>
  <si>
    <t>Definir estrategias y ejercer el poder decisorio, a fin de conducir las acciones conjuntas</t>
  </si>
  <si>
    <t>Primas y Gastos de Seguros</t>
  </si>
  <si>
    <t>2.1.1.3.06.05</t>
  </si>
  <si>
    <t xml:space="preserve">DEPARTAMENTO EJECUTIVO </t>
  </si>
  <si>
    <t>Seguros Personal Permanente</t>
  </si>
  <si>
    <t>Indemnizaciones Personal Permanente</t>
  </si>
  <si>
    <t>Sueldos y Salarios Autoridades y Personal Jerárquico</t>
  </si>
  <si>
    <t>Contribuciones Patronales Autoridades y Personal Jerárquico</t>
  </si>
  <si>
    <t>Seguros Autoridades y Personal Jerárquico</t>
  </si>
  <si>
    <t>Indemnizaciones Autoridades y Personal Jerárquico</t>
  </si>
  <si>
    <t>Otros Gastos en Autoridades y Personal Jerárquico</t>
  </si>
  <si>
    <t>2.1.1.1.02.06</t>
  </si>
  <si>
    <t>Seguros Personal Contratado</t>
  </si>
  <si>
    <t>Indemnizaciones Personal Contratado</t>
  </si>
  <si>
    <t>2.1.1.2.03.02</t>
  </si>
  <si>
    <t>Honorarios por Servicios Técnicos y Profesionales</t>
  </si>
  <si>
    <t>2.1.1.3.06.07</t>
  </si>
  <si>
    <t>2.1.1.3.09.01</t>
  </si>
  <si>
    <t>2.1.1.3.09.08</t>
  </si>
  <si>
    <t>2.2.1.1.04.01</t>
  </si>
  <si>
    <t xml:space="preserve">2.1.1.3.09.01       </t>
  </si>
  <si>
    <t>2.1.1.2.08.05</t>
  </si>
  <si>
    <t xml:space="preserve">2.1.1.3.09.03      </t>
  </si>
  <si>
    <t>2.1.1.3.07.04</t>
  </si>
  <si>
    <t>Costos de Creación, Edición y Distribución de Material de Difusión</t>
  </si>
  <si>
    <t>2.1.1.1.01.</t>
  </si>
  <si>
    <t>Personal Permanente</t>
  </si>
  <si>
    <t>2.1.1.1.02.</t>
  </si>
  <si>
    <t>Autoridades y Personal Jerárquico</t>
  </si>
  <si>
    <t>2.1.1.1.03.</t>
  </si>
  <si>
    <t>Personal Contratado</t>
  </si>
  <si>
    <t>2.1.1.2.01.</t>
  </si>
  <si>
    <t>Productos Alimenticios, Agropecuarios y Forestales</t>
  </si>
  <si>
    <t>2.1.1.2.03.</t>
  </si>
  <si>
    <t>Productos de Papel, Cartón e Impresos</t>
  </si>
  <si>
    <t>2.1.1.2.04.</t>
  </si>
  <si>
    <t>Útiles e Insumos de Oficina y Enseñanza</t>
  </si>
  <si>
    <t>Repuestos, Accesorios, Herramientas Menores y Otros</t>
  </si>
  <si>
    <t>2.1.1.3.02.</t>
  </si>
  <si>
    <t>Alquileres y Derechos</t>
  </si>
  <si>
    <t>2.1.1.3.05.</t>
  </si>
  <si>
    <t>2.1.1.3.06.</t>
  </si>
  <si>
    <t>Servicios Comerciales y Financieros</t>
  </si>
  <si>
    <t>2.1.1.3.09.</t>
  </si>
  <si>
    <t>2.2.1.1.04.</t>
  </si>
  <si>
    <t>Muebles, Equipos de Oficina, Comunicación, Educacional y Recreativo</t>
  </si>
  <si>
    <t>2.2.1.1.06.</t>
  </si>
  <si>
    <t>2.1.1.2.07.</t>
  </si>
  <si>
    <t>2.1.1.3.03.</t>
  </si>
  <si>
    <t>Servicios de Mantenimiento, Reparación y Limpieza</t>
  </si>
  <si>
    <t>Servicios Técnicos y Profesionale</t>
  </si>
  <si>
    <t>Materiales Conservación y/o Construcción</t>
  </si>
  <si>
    <t>2.1.1.2.08.</t>
  </si>
  <si>
    <t>Bienes de Consumo Varios</t>
  </si>
  <si>
    <t>EJECUTIVO MUNICIPAL</t>
  </si>
  <si>
    <t>2.1.1.4.01.</t>
  </si>
  <si>
    <t>Transferencias al Sector Público</t>
  </si>
  <si>
    <t>2.1.1.4.02.</t>
  </si>
  <si>
    <t>Transferencias al Sector Privado</t>
  </si>
  <si>
    <t>Libros, Revistas y Otros Elementos Coleccionables</t>
  </si>
  <si>
    <t>2.2.1.1.05.</t>
  </si>
  <si>
    <t>2.1.1.3.07.</t>
  </si>
  <si>
    <t xml:space="preserve">Bienes de Consumo Varios </t>
  </si>
  <si>
    <t xml:space="preserve">Otros Bienes de Capital </t>
  </si>
  <si>
    <t>Otros Bienes de Capital</t>
  </si>
  <si>
    <t>PROGRAMA: ASISTENCIA Y APOYO A PERSONAS E INSTITUCIONES</t>
  </si>
  <si>
    <t>2.1.1.3.03.07</t>
  </si>
  <si>
    <t>Capacitación/es y Cursos</t>
  </si>
  <si>
    <t>2.1.1.3.05.01</t>
  </si>
  <si>
    <t>Otras Colecciones, Piezas de Carácter Histórico o Elementos Coleccionables o de Arte</t>
  </si>
  <si>
    <t>Muebles y Equipos de Oficina</t>
  </si>
  <si>
    <t>2.1.1.3.03.06</t>
  </si>
  <si>
    <t>Mantenimiento y Reparación de Inmuebles</t>
  </si>
  <si>
    <t xml:space="preserve">Auspicios / Adhesiones </t>
  </si>
  <si>
    <t>2.1.1.3.07.03</t>
  </si>
  <si>
    <t>2.1.1.4.02.13</t>
  </si>
  <si>
    <t>Transferencias a Cooperativas y Empresas Privadas</t>
  </si>
  <si>
    <t>2.1.1.4.02.12</t>
  </si>
  <si>
    <t>2.1.1.4.02.09</t>
  </si>
  <si>
    <t xml:space="preserve">Transferencias de los Recursos por Juegos de Azar </t>
  </si>
  <si>
    <t>1002</t>
  </si>
  <si>
    <t xml:space="preserve">OBJETIVO: Planificar, evaluar y ejecutar las políticas implementadas por el Ejecutivo Municipal. </t>
  </si>
  <si>
    <t xml:space="preserve">Dar respuestas a las demandas ciudadanas y de las instituciones planteadas en los observatorios, Agenda 2025, </t>
  </si>
  <si>
    <t>Plan Trienal Participativo y otros espacios de participación ciudadana.</t>
  </si>
  <si>
    <t xml:space="preserve">OBJETIVO: Fortalecer el vínculo comunicacional con los vecinos, informando a los ciudadanos acerca de actos, </t>
  </si>
  <si>
    <t>Desarrollar las campañas sobre políticas públicas de acuerdo a los objetivos y prioridades que determine el DEM.</t>
  </si>
  <si>
    <t>2.1.1.2.07.02</t>
  </si>
  <si>
    <t>2.1.1.2.09.</t>
  </si>
  <si>
    <t>2.1.1.2.09.01</t>
  </si>
  <si>
    <t>2.1.1.2.09.05</t>
  </si>
  <si>
    <t>2.1.1.2.09.06</t>
  </si>
  <si>
    <t xml:space="preserve">2.1.1.2.09.06        </t>
  </si>
  <si>
    <t>2.1.1.3.05.02</t>
  </si>
  <si>
    <t>Servicios Técnicos y Profesionales</t>
  </si>
  <si>
    <t>DUARCION ESTIMADA: 12 meses.</t>
  </si>
  <si>
    <t>PROGRAMA: COORDINACIÓN DE INSTANCIAS DE PARTICIPACIÓN CIUDADANA</t>
  </si>
  <si>
    <t>Alquileres de Edificios, Locales e Inmuebles</t>
  </si>
  <si>
    <t>2.1.1.3.02.01</t>
  </si>
  <si>
    <t>Racionamiento, Alimento y Productos Alimenticios para Personas</t>
  </si>
  <si>
    <t xml:space="preserve">Equipos de Computación, Softwares y Licencias de Computación </t>
  </si>
  <si>
    <t>2.2.1.1.04.05</t>
  </si>
  <si>
    <t>Muebles y Equipos Especializados</t>
  </si>
  <si>
    <t>2.1.1.3.06.04</t>
  </si>
  <si>
    <t>2.2.1.1.05.01</t>
  </si>
  <si>
    <t>2.2.1.1.06.04</t>
  </si>
  <si>
    <t>2.2.1.1.06.05</t>
  </si>
  <si>
    <t>2.2.1.1.07.</t>
  </si>
  <si>
    <t>2.2.1.1.07.02</t>
  </si>
  <si>
    <t>Rodados</t>
  </si>
  <si>
    <t>2.2.1.1.03.01</t>
  </si>
  <si>
    <t>Vehículos y Rodados</t>
  </si>
  <si>
    <t>2.2.1.1.03.</t>
  </si>
  <si>
    <t>Herramientas y Repuestos Mayores</t>
  </si>
  <si>
    <t>2.2.1.1.02.05</t>
  </si>
  <si>
    <t>Equipos y Maquinarias</t>
  </si>
  <si>
    <t>2.2.1.1.02.04</t>
  </si>
  <si>
    <t xml:space="preserve">Equipos y Aparatos de Seguridad </t>
  </si>
  <si>
    <t>2.2.1.1.02.02</t>
  </si>
  <si>
    <t>Equipos y Maquinarias, Herramientas y Repuestos Mayores</t>
  </si>
  <si>
    <t>2.2.1.1.02.</t>
  </si>
  <si>
    <t>Homenajes y Cortesías</t>
  </si>
  <si>
    <t>2.1.1.3.09.04</t>
  </si>
  <si>
    <t xml:space="preserve">Pasajes, Viáticos y Movilidad </t>
  </si>
  <si>
    <t>2.1.1.3.09.03</t>
  </si>
  <si>
    <t xml:space="preserve">Mantenimiento y Reparación de Rodados </t>
  </si>
  <si>
    <t>2.1.1.3.03.04</t>
  </si>
  <si>
    <t xml:space="preserve">Alquileres Varios              </t>
  </si>
  <si>
    <t>Herramientas Menores</t>
  </si>
  <si>
    <t>2.1.1.2.07.06</t>
  </si>
  <si>
    <t>Repuestos y Accesorios Rodados</t>
  </si>
  <si>
    <t>2.1.1.2.07.04</t>
  </si>
  <si>
    <t>Cubiertas y Cámaras de Aire</t>
  </si>
  <si>
    <t>2.1.1.2.07.01</t>
  </si>
  <si>
    <t xml:space="preserve">Repuestos, Accesorios, Herramientas Menores y Otros </t>
  </si>
  <si>
    <t xml:space="preserve">Combustibles y Lubricantes </t>
  </si>
  <si>
    <t>2.1.1.2.05.01</t>
  </si>
  <si>
    <t>Combustibles, Lubricantes, Productos Químicos</t>
  </si>
  <si>
    <t>2.1.1.2.05.</t>
  </si>
  <si>
    <t>Prendas de Vestir, Uniformes y otros Accesorios o Artículos de Ropería</t>
  </si>
  <si>
    <t>2.1.1.2.02.01</t>
  </si>
  <si>
    <t xml:space="preserve">Textiles y Vestuario </t>
  </si>
  <si>
    <t>2.1.1.2.02.</t>
  </si>
  <si>
    <t xml:space="preserve"> </t>
  </si>
  <si>
    <t>UNIDAD EJECUTORA: Jefatura de Gabinete.</t>
  </si>
  <si>
    <t>Facilitar la resolución de cuestiones que surjan de la relación Gobierno Municipal-Ciudadanos.</t>
  </si>
  <si>
    <t>importancia de diagnosticar conflictos, manejarlos e implementar estrategias apropiadas para la solución de los mismos.</t>
  </si>
  <si>
    <t xml:space="preserve">en la prevención y resolución de conflictos dentro de su ámbito. Concientizar a los funcionarios acerca de la </t>
  </si>
  <si>
    <t xml:space="preserve">Desde el servicio de Mediación Comunitaria mejorar la convivencia vecinal y capacitar a la Comunidad Educativa </t>
  </si>
  <si>
    <t>y en comunidades educacionales.</t>
  </si>
  <si>
    <t xml:space="preserve">Incentivar al mejoramiento de las relaciones sociales de vecinos entre sí y actores sociales de entidades intermedias </t>
  </si>
  <si>
    <t>y Emergencias del área Salud y Bomberos Voluntarios.</t>
  </si>
  <si>
    <t xml:space="preserve">Coordinación de acciones de información y gestión con el área de Tránsito, Defensa Civil, Sistemas de Urgencias </t>
  </si>
  <si>
    <t xml:space="preserve">áreas municipales mediante el seguimiento a través de la red informática. </t>
  </si>
  <si>
    <t xml:space="preserve">Brindar una mayor celeridad en los plazos de cumplimiento del reclamo, dinamizando la interrelación con las distintas </t>
  </si>
  <si>
    <t xml:space="preserve">Establecer una comunicación dinámica entre la Municipalidad de Villa María y los Vecinos. </t>
  </si>
  <si>
    <t xml:space="preserve">OBJETIVO: Orientar, informar y gestionar la solución de problemas, conflictos y denuncias realizadas por los ciudadanos. </t>
  </si>
  <si>
    <t xml:space="preserve">PROGRAMA: ATENCIÓN Y SERVICIO AL VECINO </t>
  </si>
  <si>
    <t>2.2.1.1.06.02</t>
  </si>
  <si>
    <t>2.2.1.1.04.02</t>
  </si>
  <si>
    <t xml:space="preserve">Servicios de Seguridad y Vigilancia </t>
  </si>
  <si>
    <t>2.1.1.3.09.07</t>
  </si>
  <si>
    <t>Mantenimientos y Reparaciones Varias</t>
  </si>
  <si>
    <t>Mantenimiento y Reparación de Equipos y Maquinarias</t>
  </si>
  <si>
    <t>2.1.1.3.03.05</t>
  </si>
  <si>
    <t>Elementos e Insumos de Seguridad</t>
  </si>
  <si>
    <t>2.1.1.2.09.03</t>
  </si>
  <si>
    <t>Repuestos y Accesorios Equipos y Maquinaria</t>
  </si>
  <si>
    <t>2.1.1.2.07.05</t>
  </si>
  <si>
    <t>Tintas, Pinturas y Colorantes</t>
  </si>
  <si>
    <t>2.1.1.2.05.02</t>
  </si>
  <si>
    <t>Combustibles y Lubricantes</t>
  </si>
  <si>
    <t>Útiles, Art. de Librería, Ins. Informáticos</t>
  </si>
  <si>
    <t>Indumentaria y Accesorios de Seguridad Laboral</t>
  </si>
  <si>
    <t>2.1.1.2.02.03</t>
  </si>
  <si>
    <t>Textiles y Vestuario</t>
  </si>
  <si>
    <t>COSTO TOTAL PROGRAMA</t>
  </si>
  <si>
    <t>la Dirección Provincial de Defensa Civil y Protección Civil de la Nación.</t>
  </si>
  <si>
    <t>Coordinar la Defensa Civil con la Junta Municipal de Defensa Civil, el Centro de Emergencias Municipales y</t>
  </si>
  <si>
    <t>mejor atención y resolución de las mismas por parte de las instituciones involucradas.</t>
  </si>
  <si>
    <t>Receptar inquietudes de los vecinos en situación de emergencia y actuar como nexo comunicacional para la</t>
  </si>
  <si>
    <t>la instrucción y prevención a la población.</t>
  </si>
  <si>
    <t xml:space="preserve">OBJETIVOS: Dirigir el accionar en casos de desastres naturales o provocados por el hombre, así como </t>
  </si>
  <si>
    <t>PROGRAMA: DEFENSA CIVIL</t>
  </si>
  <si>
    <t>Gastos Varios Protocolares y de Organización de Eventos</t>
  </si>
  <si>
    <t>2.1.1.3.09.06</t>
  </si>
  <si>
    <t>Gastos Protocolares de Traslado, Alojamiento y Estadía</t>
  </si>
  <si>
    <t>2.1.1.3.09.05</t>
  </si>
  <si>
    <t>Premios, Obsequios, Presentes y Otros</t>
  </si>
  <si>
    <t>Confecciones Textiles</t>
  </si>
  <si>
    <t>2.1.1.2.02.02</t>
  </si>
  <si>
    <t>Textiles y Vestuarios</t>
  </si>
  <si>
    <t>OBJETIVO: Instrumentar los mecanismos correspondientes al ceremonial y protocolo municipal.</t>
  </si>
  <si>
    <t>PROGRAMA: COORDINACIÓN DE EVENTOS, CEREMONIAL Y PROTOCOLO</t>
  </si>
  <si>
    <t xml:space="preserve">2.2.1.1.05.01      </t>
  </si>
  <si>
    <t>Materiales Conservación Inmuebles</t>
  </si>
  <si>
    <t>2.1.1.2.08.01</t>
  </si>
  <si>
    <t>diálogos, debates, foros, talleres de capacitación, intercambios de experiencia, conferencias.</t>
  </si>
  <si>
    <t xml:space="preserve">Promover y potenciar el trabajo asociativo. Utilizar para el logro de objetivos distintas herramientas como: mesas de </t>
  </si>
  <si>
    <t>Colaborar e interactuar con quienes integran el registro de entidades intermedias.</t>
  </si>
  <si>
    <t>Lograr mayor representatividad del Gobierno Municipal y una mejora en la relación de éste con la sociedad civil.</t>
  </si>
  <si>
    <t>OBJETIVO: Tender puentes de comunicación, establecer vínculos y trabajo conjunto con ONG's e instituciones de diferente índole.</t>
  </si>
  <si>
    <t xml:space="preserve">                    </t>
  </si>
  <si>
    <t>Transferencias a Soc. Estado y/o Economía Mixta</t>
  </si>
  <si>
    <t>2.1.1.4.01.04</t>
  </si>
  <si>
    <t>Transferencias al Sector Púbico</t>
  </si>
  <si>
    <t>1101</t>
  </si>
  <si>
    <t>JEFATURA DE GABINETE</t>
  </si>
  <si>
    <t>SECRETARÍA DE GOBIERNO Y DESCENTRALIZACIÓN TERRITORIAL</t>
  </si>
  <si>
    <t>PROGRAMA: COORDINACIÓN Y ADMINISTRACIÓN DE LA SECRETARÍA DE GOBIERNO</t>
  </si>
  <si>
    <t xml:space="preserve">                      Y DESCENTRALIZACIÓN TERRITORIAL</t>
  </si>
  <si>
    <t xml:space="preserve">OBJETIVOS: Asistir al Departamento Ejecutivo Municipal en todo lo inherente al Gobierno Político Interno </t>
  </si>
  <si>
    <t>como así también en lo que hace a la relación con las Instituciones barriales a través del funcionamiento de los</t>
  </si>
  <si>
    <t>Consejos Barriales.</t>
  </si>
  <si>
    <t>Entender en las relaciones con los Poderes del Estado Municipal, con los organismos oficiales nacionales y/o</t>
  </si>
  <si>
    <t>provinciales, y con las municipalidades y comunas de la Provincia de Córdoba.</t>
  </si>
  <si>
    <t>Coordinar el funcionamiento de la Subsecretaría de Descentralización Territorial, el Registro Civil, y las demás</t>
  </si>
  <si>
    <t>áreas a su cargo y los programas que éstas ejecutan.</t>
  </si>
  <si>
    <t>UNIDAD EJECUTORA: Secretaría de Gobierno y Descentralización Territorial.</t>
  </si>
  <si>
    <t>2.1.1.3.03.02</t>
  </si>
  <si>
    <t>Mantenimiento y Reparación de Equipos y Sistemas Informáticos y de Comunicaciones en Gral.</t>
  </si>
  <si>
    <t>Capacitación y Cursos</t>
  </si>
  <si>
    <t>2.1.1.4.02.03</t>
  </si>
  <si>
    <t>Transferencia a Instituciones de Enseñanza/Académicas, Culturales, Deportivas y Sociales en General</t>
  </si>
  <si>
    <t>2.1.1.4.02.04</t>
  </si>
  <si>
    <t>Becas, Capacitación y Formación</t>
  </si>
  <si>
    <t xml:space="preserve">PROGRAMA: RELACIONES LABORALES Y SERVICIOS GENERALES </t>
  </si>
  <si>
    <t>OBJETIVO: Desarrollar las tareas inherentes a la administración de los recursos humanos y dotación del personal.</t>
  </si>
  <si>
    <t>Gestión y control de los contratos del personal transitorio.</t>
  </si>
  <si>
    <t xml:space="preserve">Confección y seguimiento de los legajos de los agentes. Atención del personal en cuanto a la liquidación   </t>
  </si>
  <si>
    <t>de haberes, control de ausentismo, licencias, permisos especiales, etc., y toda gestión inherente ante los organismos</t>
  </si>
  <si>
    <t>vinculados (APROSS, Caja de Jubilaciones, Pensiones y Retiros de la Provincia y otros).</t>
  </si>
  <si>
    <t>Procurar por la Seguridad e Higiene Laboral, proveer la indumentaria necesaria para el personal municipal.</t>
  </si>
  <si>
    <t>Ser responsable de las relaciones con los distintos gremios y coordinar las relaciones laborales entre el municipio</t>
  </si>
  <si>
    <t>y el Ministerio de Trabajo.</t>
  </si>
  <si>
    <t xml:space="preserve">Coordinar y prestar los distintos servicios generales a todas las dependencias municipales para ayudar en el </t>
  </si>
  <si>
    <t>cumplimiento de sus objetivos.</t>
  </si>
  <si>
    <t>La realización de las impresiones y reproducciones de uso interno del Municipio y sus dependencias.</t>
  </si>
  <si>
    <t>El traslado del personal municipal afectado a la función pública, como así también, el mantenimiento y cuidado de</t>
  </si>
  <si>
    <t>de los vehículos que éstos utilizan y el mantenimiento de la reglamentación y documentación correspondiente.</t>
  </si>
  <si>
    <t xml:space="preserve">Prestar el servicio de limpieza de las dependencias municipales y la atención al personal Municipal y a quienes </t>
  </si>
  <si>
    <t>por razones circunstanciales llegan al palacio.</t>
  </si>
  <si>
    <t>2.1.1.2.08.03</t>
  </si>
  <si>
    <t>Materiales de Electricidad</t>
  </si>
  <si>
    <t>2.1.1.2.09.02</t>
  </si>
  <si>
    <t>Utensilios de Cocina y Comedor</t>
  </si>
  <si>
    <t>2.1.1.3.03.01</t>
  </si>
  <si>
    <t>Limpieza, Aseo y Fumigación</t>
  </si>
  <si>
    <t>Mantenimiento y Reparación Rodados</t>
  </si>
  <si>
    <t>PROGRAMA: REGISTRO CIVIL</t>
  </si>
  <si>
    <t>OBJETIVO: Desplegar acciones tendientes a la correcta identificación de las personas.</t>
  </si>
  <si>
    <t xml:space="preserve">Promover la concientización y educación, respecto a temas registrales y civiles. </t>
  </si>
  <si>
    <t>Informatización del área y capacitación del personal.</t>
  </si>
  <si>
    <t>Acercar el Registro Civil a los barrios y a los vecinos desde la implementación de diversas acciones, como:</t>
  </si>
  <si>
    <t>la regularización de documentación de extranjeros, la documentación de personas privadas de su libertad,</t>
  </si>
  <si>
    <t>la visita del registro civil a las distintas escuelas.</t>
  </si>
  <si>
    <t>UNIDAD EJECUTORA: Registro Civil.</t>
  </si>
  <si>
    <t>PROGRAMA: COORDINACIÓN DE POLÍTICAS DE DESCENTRALIZACIÓN TERRITORIAL</t>
  </si>
  <si>
    <t>1204</t>
  </si>
  <si>
    <t>Y PARTICIPACIÓN VECINAL</t>
  </si>
  <si>
    <t>OBJETIVO: Desarrollar y ejecutar lo inherente al Plan de Descentralización Municipal, entendido como proceso</t>
  </si>
  <si>
    <t xml:space="preserve">administrativo, político y social, mediante el cual se transfieren funciones, competencias y recursos desde una </t>
  </si>
  <si>
    <t xml:space="preserve">administración central hacia organismos de menor jurisdicción territorial, con el objetivo de desburocratizar la </t>
  </si>
  <si>
    <t>gestión municipal.</t>
  </si>
  <si>
    <t>Lograr equidad en el acceso a los servicios y a la distribución de oportunidades con la presencia del Estado</t>
  </si>
  <si>
    <t xml:space="preserve">local más cerca de los ciudadanos a partir de un concepto relacional y de proximidad territorial </t>
  </si>
  <si>
    <t>mediante un modelo de gestión asociada, que promueva la participación de todos.</t>
  </si>
  <si>
    <t>Desarrollar actividades a través de las cuales se van definiendo paulatinamente las demandas sectoriales, las</t>
  </si>
  <si>
    <t>prioridades de la comunidad, los criterios de asignación de fondos y el programa de inversión de la ciudad,</t>
  </si>
  <si>
    <t>mediante la participación de la ciudadanía.</t>
  </si>
  <si>
    <t>Promover el desarrollo barrial de los vecinos generando una conciencia de trabajo asociado, para planificar y</t>
  </si>
  <si>
    <r>
      <t xml:space="preserve">definir acciones tendientes a mejorar la realidad de la comunidad, a través del </t>
    </r>
    <r>
      <rPr>
        <i/>
        <sz val="10"/>
        <rFont val="Arial Narrow"/>
        <family val="2"/>
      </rPr>
      <t>Consejo Barrial.</t>
    </r>
  </si>
  <si>
    <r>
      <t xml:space="preserve">Promover la conciencia de la </t>
    </r>
    <r>
      <rPr>
        <i/>
        <sz val="10"/>
        <rFont val="Arial Narrow"/>
        <family val="2"/>
      </rPr>
      <t>Participación Ciudadana</t>
    </r>
    <r>
      <rPr>
        <sz val="10"/>
        <rFont val="Arial Narrow"/>
        <family val="2"/>
      </rPr>
      <t xml:space="preserve"> en espacios multisectoriales de formación.</t>
    </r>
  </si>
  <si>
    <t xml:space="preserve">Formar, informar y realizar estudios, análisis, investigaciones, diagnósticos, para contribuir a la introducción y </t>
  </si>
  <si>
    <t xml:space="preserve">difusión de una nueva y necesaria cultura de la ordenación territorial y el desarrollo sostenible </t>
  </si>
  <si>
    <t>UNIDAD EJECUTORA: Subsecretaría de Descentralización Territorial.</t>
  </si>
  <si>
    <t>Alquileres Edificios, Locales e Inmuebles</t>
  </si>
  <si>
    <t>2.1.1.3.09.02</t>
  </si>
  <si>
    <t>Trabajos de Terceros</t>
  </si>
  <si>
    <t>cooperativas</t>
  </si>
  <si>
    <t>2.1.1.4.02.05</t>
  </si>
  <si>
    <t>Apoyo a Centros Vecinales</t>
  </si>
  <si>
    <t>2.1.1.4.02.08</t>
  </si>
  <si>
    <t>Ayudas Sociales a Personas y Familias</t>
  </si>
  <si>
    <t xml:space="preserve">Subsidios a Entregar  </t>
  </si>
  <si>
    <t>SECRETARÍA DE AMBIENTE Y DESARROLLO URBANO</t>
  </si>
  <si>
    <t>DE LA SECRETARÍA DE AMBIENTE Y DESARROLLO URBANO</t>
  </si>
  <si>
    <t>OBJETIVO: Llevar a cabo la planificación y el control de la urbanización y el embellecimiento urbano.</t>
  </si>
  <si>
    <t>UNIDAD EJECUTORA: Secretaría de Ambiente y Desarrollo Urbano.</t>
  </si>
  <si>
    <t>Asignaciones Familiares Autoridades y Personal Jerárquico</t>
  </si>
  <si>
    <t>Equipos de Computación, Software y Licencias de Computación</t>
  </si>
  <si>
    <t>PROGRAMA: COORDINACIÓN Y GESTIÓN DE SERVICIOS PÚBLICOS</t>
  </si>
  <si>
    <t xml:space="preserve">OBJETIVO: Dar rápida y ágil respuesta a la demanda de servicios y operaciones a cargo de la Secretaría, </t>
  </si>
  <si>
    <t>para satisfacer en forma oportuna los requerimientos y necesidades de los vecinos.</t>
  </si>
  <si>
    <t>Procurar los medios y recursos para mantener en buenas condiciones espacios y obras de nuestra ciudad,</t>
  </si>
  <si>
    <t>contemplando también el mantenimiento de calles de pavimento y tierra.</t>
  </si>
  <si>
    <t xml:space="preserve">Coordinar y gestionar las áreas de servicios generales a cargo de la secretaría, como el corralón, taller </t>
  </si>
  <si>
    <t xml:space="preserve">de reparaciones y carpintería, y ejecutar todas las actividades inherentes al funcionamiento y mantenimiento del </t>
  </si>
  <si>
    <t>Cementerio “La Piedad”.</t>
  </si>
  <si>
    <t>Conservación de las luminarias, semáforos y señalización luminosa de la ciudad.</t>
  </si>
  <si>
    <t>Atención a la demanda de alumbrado público por parte de los vecinos.</t>
  </si>
  <si>
    <t>Mantenimiento de las luminarias e instalaciones eléctricas del Palacio Municipal y de todas sus dependencias.</t>
  </si>
  <si>
    <t>UNIDAD EJECUTORA: Subsecretaría de Servicios Públicos.</t>
  </si>
  <si>
    <t>DURACION ESTIMADA: 12 meses</t>
  </si>
  <si>
    <t>2.1.1.2.05.03</t>
  </si>
  <si>
    <t>Compuestos y Productos Químicos</t>
  </si>
  <si>
    <t>Cubiertas y Cámaras de Aires</t>
  </si>
  <si>
    <t xml:space="preserve">Herramientas Menores </t>
  </si>
  <si>
    <t>2.1.1.2.08.02</t>
  </si>
  <si>
    <t>Materiales Conservación Calles</t>
  </si>
  <si>
    <t>2.1.1.2.08.04</t>
  </si>
  <si>
    <t>Materiales de Construcción</t>
  </si>
  <si>
    <t>2.1.1.3.02.02</t>
  </si>
  <si>
    <t>Alquileres de Maquinaria, Equipos y Medios de Transporte</t>
  </si>
  <si>
    <t>2.1.1.3.02.03</t>
  </si>
  <si>
    <t>Leasing-Alquileres con Opción a Compra</t>
  </si>
  <si>
    <t>Mantenimiento y Reparación de Rodados</t>
  </si>
  <si>
    <t>2.1.1.3.04.</t>
  </si>
  <si>
    <t>Servicios Públicos Municipales</t>
  </si>
  <si>
    <t>2.1.1.3.04.01</t>
  </si>
  <si>
    <t>Mantenimiento y Limpieza de Espacios Públicos</t>
  </si>
  <si>
    <t>2.1.1.3.04.02</t>
  </si>
  <si>
    <t>Barrido, Limpieza y Riego de Calles</t>
  </si>
  <si>
    <t>2.1.1.3.04.03</t>
  </si>
  <si>
    <t>Recolección y Tratamiento de Residuos</t>
  </si>
  <si>
    <t>2.1.1.3.04.04</t>
  </si>
  <si>
    <t xml:space="preserve">Energía Eléctrica para Alumbrado Público, Semáforos y Otros </t>
  </si>
  <si>
    <t>2.1.1.3.04.06</t>
  </si>
  <si>
    <t>Otros Servicios Públicos Municipales</t>
  </si>
  <si>
    <t xml:space="preserve">2.2.1.1.02.04     </t>
  </si>
  <si>
    <t>Equipos y Máquinaria</t>
  </si>
  <si>
    <t xml:space="preserve">2.2.1.1.03.01      </t>
  </si>
  <si>
    <t>2.2.1.1.07.01</t>
  </si>
  <si>
    <t>Semovientes</t>
  </si>
  <si>
    <t>OBJETIVO: La ejecución de las acciones definidas por la Secretaría, en materia de arquitectura, diseño y</t>
  </si>
  <si>
    <t>construcción de obras llevadas a cabo por el Municipio.</t>
  </si>
  <si>
    <t xml:space="preserve">La definición de un modelo Urbano-Arquitectónico para la ciudad y su ejecución, como así también, la definición de </t>
  </si>
  <si>
    <t>nuevos proyectos de obras para atender las necesidades de la población.</t>
  </si>
  <si>
    <t xml:space="preserve">El funcionamiento Técnico-Administrativo del área de Infraestructura Urbana (gas, desagües pluviales y </t>
  </si>
  <si>
    <t>obras viales en general).</t>
  </si>
  <si>
    <t>UNIDAD EJECUTORA: Subsecretaría de Obras Públicas.</t>
  </si>
  <si>
    <t>PROGRAMA: TRANSFERENCIAS EN INFRAESTRUCTURA A INSTITUCIONES</t>
  </si>
  <si>
    <t xml:space="preserve">OBJETIVO: Satisfacer los problemas edilicios y de infraestructura de instituciones educativas, sociales, </t>
  </si>
  <si>
    <t>culturales, etc., a través de transferencias de recursos materiales, y/o trabajos públicos.</t>
  </si>
  <si>
    <t>2.1.1.4.01.07</t>
  </si>
  <si>
    <t>Transferencias-Trabajo Público en Instituciones del Sector Público</t>
  </si>
  <si>
    <t>2.1.1.4.02.15</t>
  </si>
  <si>
    <t>Transferencias-Trabajo Público en Instituciones del Sector Privado</t>
  </si>
  <si>
    <t>PROGRAMA: COORDINACIÓN DE POLÍTICAS AMBIENTALES</t>
  </si>
  <si>
    <t>OBJETIVO: Desarrollar y ejecutar acciones para optimizar las condiciones ambientales de la ciudad, garantizando</t>
  </si>
  <si>
    <t xml:space="preserve">una mejor calidad de vida de los vecinos. </t>
  </si>
  <si>
    <t>Mantenimiento y recuperación de los Inmuebles y Espacios Públicos de uso de la comunidad.</t>
  </si>
  <si>
    <t>Desmalezamiento, limpieza, forestación y poda de los distintos espacios verdes de la ciudad (plazas, plazoletas, canteros,</t>
  </si>
  <si>
    <t>boulevares, predio ferro-urbanístico) y su arbolado público.</t>
  </si>
  <si>
    <t xml:space="preserve">Difundir los roles que desempeñan las áreas naturales, a fin de concientizar sobre la necesidad de conservarlas, </t>
  </si>
  <si>
    <t>promocionando, además, los beneficios del arbolado público y su cuidado.</t>
  </si>
  <si>
    <t>Educar a la población en temas de saneamiento ambiental y la importancia del manejo adecuado de los desechos.</t>
  </si>
  <si>
    <t>Generar y formar conciencia y responsabilidad frente a las acciones que impactan al ambiente .</t>
  </si>
  <si>
    <t>Promocionar la adquisición de conocimientos y actitudes en el proceso de separación de los desechos domiciliarios.</t>
  </si>
  <si>
    <r>
      <t xml:space="preserve">Desde la propuesta </t>
    </r>
    <r>
      <rPr>
        <i/>
        <sz val="10"/>
        <rFont val="Arial Narrow"/>
        <family val="2"/>
      </rPr>
      <t>Separe en Casa</t>
    </r>
    <r>
      <rPr>
        <sz val="10"/>
        <rFont val="Arial Narrow"/>
        <family val="2"/>
      </rPr>
      <t xml:space="preserve"> se procura lograr el hábito de la separación domiciliaria de los RSU y disminuir </t>
    </r>
  </si>
  <si>
    <t>el porcentaje de residuos eliminados.</t>
  </si>
  <si>
    <t xml:space="preserve">Erradicar los basurales clandestinos, dar tratamiento de los residuos sólidos urbanos disponiendo de los mismos en </t>
  </si>
  <si>
    <t>forma ambientalmente adecuada.</t>
  </si>
  <si>
    <t xml:space="preserve">Erradicar basurales instalados en distintos barrios de la ciudad mediante la creación de </t>
  </si>
  <si>
    <t xml:space="preserve">Puntos Limpios, espacios destinados para que los vecinos depositen en ellos los residuos inorgánicos </t>
  </si>
  <si>
    <t>en forma clasificada.</t>
  </si>
  <si>
    <t>Controlar las plagas urbanas que puede generar dicha actividad y garantizar un ambiente urbano saludable.</t>
  </si>
  <si>
    <t>Preservar el medio natural con las modificaciones imprescindibles, posibilitando el acceso del público al escenario</t>
  </si>
  <si>
    <t xml:space="preserve">que ofrece nuestro paisaje local, mediante actividades recreativas, educativas, de investigación y de extensión </t>
  </si>
  <si>
    <t>de modo sustentable.</t>
  </si>
  <si>
    <t>Lograr que el relleno sanitario tenga una vida útil mayor.</t>
  </si>
  <si>
    <t xml:space="preserve">Lograr la implementación de procesos de manejo de desechos a través de la creación de microempresas, bajo la </t>
  </si>
  <si>
    <t>perspectiva de generación de empleo y sostenibilidad.</t>
  </si>
  <si>
    <t xml:space="preserve">Asegurar la participación de los actores sociales como gestores de este proceso, promocionando el reciclaje de los </t>
  </si>
  <si>
    <t>desechos sólidos y su comercialización.</t>
  </si>
  <si>
    <t>Garantizar que el Sector Público y el Sector Privado realicen una producción limpia mediante una</t>
  </si>
  <si>
    <t xml:space="preserve">correcta eliminación de efluentes, evitando el impacto ambiental negativo producido por las malas prácticas de </t>
  </si>
  <si>
    <t xml:space="preserve">fabricación y por la introducción de contaminantes al ambiente, en particular en los cursos de agua superficiales </t>
  </si>
  <si>
    <t>y subterráneas.</t>
  </si>
  <si>
    <t>COSTO TOTAL PROGRAMA.</t>
  </si>
  <si>
    <t>2.1.1.2.01.03</t>
  </si>
  <si>
    <t>Productos Agroforestales</t>
  </si>
  <si>
    <t>2.1.1.2.05.04</t>
  </si>
  <si>
    <t>Abonos y Fertilizantes</t>
  </si>
  <si>
    <t>2.1.1.2.05.05</t>
  </si>
  <si>
    <t xml:space="preserve">Insecticidas, Fumigantes y Otros </t>
  </si>
  <si>
    <t xml:space="preserve">2.1.1.2.09.      </t>
  </si>
  <si>
    <t xml:space="preserve">2.2.1.1.02.05  </t>
  </si>
  <si>
    <t>PLAN DE OBRAS Y TRABAJOS PÚBLICOS</t>
  </si>
  <si>
    <t>PROYECTO: EDIFICIOS PÚBLICOS</t>
  </si>
  <si>
    <t>CODIGO:</t>
  </si>
  <si>
    <t>OBJETIVO: Contribuir, ampliar y mejorar las condiciones edilicias y los y ambientales de los edificios públicos</t>
  </si>
  <si>
    <t xml:space="preserve">educativos, culturales, sanitarios y comunitarios, de administración  municipal y los de esparcimiento </t>
  </si>
  <si>
    <t>y deportivos en todos los barrios de la ciudad.</t>
  </si>
  <si>
    <t>COSTO TOTAL PROYECTO:</t>
  </si>
  <si>
    <t>TRABAJO PÚBLICO</t>
  </si>
  <si>
    <t>2.2.1.2.01.</t>
  </si>
  <si>
    <t>Construcciones en Bienes de Dominio Privado</t>
  </si>
  <si>
    <t>2.2.1.2.01.01</t>
  </si>
  <si>
    <t>Ampliación y/o Mejora Palacio Municipal</t>
  </si>
  <si>
    <t>2.2.1.2.01.02</t>
  </si>
  <si>
    <t>Construcción, Ampliación y/o Mejora Edificios Muni-Cerca</t>
  </si>
  <si>
    <t>2.2.1.2.01.03</t>
  </si>
  <si>
    <t>Construcción, Ampliación y/o Mejora Centros de Apoyo y/o Educativos</t>
  </si>
  <si>
    <t>2.2.1.2.01.04</t>
  </si>
  <si>
    <t>Construcción, Ampliación y/o Mejora Centros de Salud</t>
  </si>
  <si>
    <t>2.2.1.2.01.05</t>
  </si>
  <si>
    <t>Construcción, Ampliación y/o Mejora Edif./Espacios Culturales y Recreativos</t>
  </si>
  <si>
    <t>2.2.1.2.01.06</t>
  </si>
  <si>
    <t>Construcción, Ampliación y/o Mejora Espacios Deportivos y de Esparcimiento</t>
  </si>
  <si>
    <t>2.2.1.2.01.07</t>
  </si>
  <si>
    <t>Construcción, Ampliación y/o Mejora Edif. Hogar de Ancianos</t>
  </si>
  <si>
    <t>2.2.1.2.01.12</t>
  </si>
  <si>
    <t>Construcción, Ampliación y/o Mejora de Otros Edif. Municipales</t>
  </si>
  <si>
    <t>PROYECTO: EMBELLECIMIENTO URBANO</t>
  </si>
  <si>
    <t>COSTO TOTAL OBRA:</t>
  </si>
  <si>
    <t>2.2.1.2.02.</t>
  </si>
  <si>
    <t>Construcción Bienes de Dominio Público</t>
  </si>
  <si>
    <t>2.2.1.2.02.01</t>
  </si>
  <si>
    <t>Ampliación, Revalorización y/o Mejora de la Costanera</t>
  </si>
  <si>
    <t>2.2.1.2.02.02</t>
  </si>
  <si>
    <t>Espacios Verdes y Públicos -Creación, Revalor. y/o Mejora Parques, Plazas y Otros Espacios-</t>
  </si>
  <si>
    <t>2.2.1.2.02.03</t>
  </si>
  <si>
    <t>Revalorización Sector Céntrico</t>
  </si>
  <si>
    <t>PROYECTO: OBRAS DE INFRAESTRUCTURA URBANA Y SERVICIOS PÚBLICOS</t>
  </si>
  <si>
    <t>2.1.1.4.02.16</t>
  </si>
  <si>
    <t>Transferencias - Trabajo Público en Obras de Infraestructura por FoPOI</t>
  </si>
  <si>
    <t>Construcción Bienes de Dominio Privado</t>
  </si>
  <si>
    <t>2.2.1.2.01.14</t>
  </si>
  <si>
    <t>Programa Mejor Vivir</t>
  </si>
  <si>
    <t>2.2.1.2.01.15</t>
  </si>
  <si>
    <t>2.2.1.2.01.16</t>
  </si>
  <si>
    <t>2.2.1.2.02.04</t>
  </si>
  <si>
    <t>Red de Agua y Cloacas</t>
  </si>
  <si>
    <t>2.2.1.2.02.05</t>
  </si>
  <si>
    <t xml:space="preserve">Red de Gas </t>
  </si>
  <si>
    <t>2.2.1.2.02.06</t>
  </si>
  <si>
    <t>Iluminación y Alumbrado Público</t>
  </si>
  <si>
    <t>2.2.1.2.02.07</t>
  </si>
  <si>
    <t>Mantenimiento y Conservación Red Vial Urbana</t>
  </si>
  <si>
    <t>2.2.1.2.02.08</t>
  </si>
  <si>
    <t xml:space="preserve">Pavimentación </t>
  </si>
  <si>
    <t>2.2.1.2.02.09</t>
  </si>
  <si>
    <t>Cordón Cuneta</t>
  </si>
  <si>
    <t>2.2.1.2.02.10</t>
  </si>
  <si>
    <t>Ciclovías</t>
  </si>
  <si>
    <t>2.2.1.2.02.11</t>
  </si>
  <si>
    <t>2.2.1.2.02.12</t>
  </si>
  <si>
    <t>Portales de la Ciudad</t>
  </si>
  <si>
    <t>2.2.1.2.02.13</t>
  </si>
  <si>
    <t>2.2.1.2.02.14</t>
  </si>
  <si>
    <t>Sistema de Desagües Pluviales</t>
  </si>
  <si>
    <t>2.2.1.2.02.16</t>
  </si>
  <si>
    <t>2.2.1.2.02.18</t>
  </si>
  <si>
    <t>Programa Energías Alternativas Sustentables</t>
  </si>
  <si>
    <t>2.2.1.2.02.23</t>
  </si>
  <si>
    <t>Proyecto Puntos Limpios-Erradicación de Basurales</t>
  </si>
  <si>
    <t>2.2.1.2.02.24</t>
  </si>
  <si>
    <t>Otras Obras y/o Proyectos</t>
  </si>
  <si>
    <t>SECRETARÍA DE ECONOMÍA Y ADMINISTRACIÓN</t>
  </si>
  <si>
    <t>1401</t>
  </si>
  <si>
    <t xml:space="preserve">                      </t>
  </si>
  <si>
    <t>DE LA SECRETARÍA DE ECONOMÍA Y ADMINISTRACIÓN</t>
  </si>
  <si>
    <t xml:space="preserve">OBJETIVO: Asistir al D.E.M. en todo lo inherente a la elaboración y control de la ejecución del Presupuesto Municipal, </t>
  </si>
  <si>
    <t>como así también en los niveles del gasto y de los ingresos conforme a las pautas que se fijen, y en particular:</t>
  </si>
  <si>
    <t>- Entender en la determinación de los objetivos y la formulación de las políticas de la Secretaría.</t>
  </si>
  <si>
    <t>- Asesorar en la distribución de las rentas municipales.</t>
  </si>
  <si>
    <t>- Verificar, centralizar y conducir la información sobre el endeudamiento público total de la Municipalidad.</t>
  </si>
  <si>
    <t>- Realizar las gestiones necesarias para obtener financiamiento y crédito.</t>
  </si>
  <si>
    <t>UNIDAD EJECUTORA: Secretaría de Economía y Administración.</t>
  </si>
  <si>
    <t>Repuestos y Accesorios Equipos y Sistemas Informáticos y de Comunicación en General</t>
  </si>
  <si>
    <t>2.1.1.3.01.</t>
  </si>
  <si>
    <t>Servicios Básicos</t>
  </si>
  <si>
    <t>2.1.1.3.01.01</t>
  </si>
  <si>
    <t>Energía Eléctrica</t>
  </si>
  <si>
    <t>2.1.1.3.01.02</t>
  </si>
  <si>
    <t>Agua y Cloacas</t>
  </si>
  <si>
    <t>2.1.1.3.01.03</t>
  </si>
  <si>
    <t>Gas</t>
  </si>
  <si>
    <t>2.1.1.3.01.05</t>
  </si>
  <si>
    <t>Correos y Telégrafos</t>
  </si>
  <si>
    <t>2.1.1.3.01.06</t>
  </si>
  <si>
    <t>Otros Servicios Básicos no Especificados</t>
  </si>
  <si>
    <t>2.1.1.4.02.06</t>
  </si>
  <si>
    <t>Apoyo a Microemprendedores</t>
  </si>
  <si>
    <t>2.2.1.1.01.</t>
  </si>
  <si>
    <t>Bienes Preexistentes</t>
  </si>
  <si>
    <t>2.2.1.1.01.01</t>
  </si>
  <si>
    <t>Tierras y Terrenos</t>
  </si>
  <si>
    <t>2.2.1.1.01.02</t>
  </si>
  <si>
    <t>Edificios, Obras e Instalaciones</t>
  </si>
  <si>
    <t>PROGRAMA: ADMINISTRACIÓN MUNICIPAL DE INGRESOS PÚBLICOS</t>
  </si>
  <si>
    <t>1402</t>
  </si>
  <si>
    <t>OBJETIVO: La gestión de cobro de impuestos, tasas, tributos y demás conceptos cuya recaudación corresponda al municipio.</t>
  </si>
  <si>
    <t xml:space="preserve">Imponer una mayor presencia del Organismo Fiscal en las actividades económicas de la ciudad, como asi también verificar </t>
  </si>
  <si>
    <t>el cumplimiento de las obligaciones tributarias mediante el ejercicio de las facultades conferidas por la normativa vigente.</t>
  </si>
  <si>
    <t xml:space="preserve">Continuar con las actuaciones judiciales iniciadas, y procurar una atención y resolución de los casos en forma ágil, </t>
  </si>
  <si>
    <t>personalizada y con la privacidad necesaria.</t>
  </si>
  <si>
    <t xml:space="preserve">Realizar el registro de Obras Privadas, Fraccionamiento y Uso del Suelo, para poder organizar y administrar </t>
  </si>
  <si>
    <t>los inmuebles de la ciudad.</t>
  </si>
  <si>
    <t>UNIDAD EJECUTORA: Subsecretaría de Ingresos Públicos.</t>
  </si>
  <si>
    <t>Combustible, Lubricantes, Productos Químicos</t>
  </si>
  <si>
    <t xml:space="preserve">Bienes de Consumo </t>
  </si>
  <si>
    <t>2.1.1.3.06.08</t>
  </si>
  <si>
    <t>Servicios de Resguardo y Archivo Documental</t>
  </si>
  <si>
    <t>2.1.1.3.08.</t>
  </si>
  <si>
    <t>Impuestos, Derechos, Tasas y Juicios</t>
  </si>
  <si>
    <t>2.1.1.3.08.01</t>
  </si>
  <si>
    <t>Impuestos, Derechos y Tasas</t>
  </si>
  <si>
    <t>2.1.1.3.08.02</t>
  </si>
  <si>
    <t>Multas y Recargos</t>
  </si>
  <si>
    <t>PROGRAMA: CONTADURÍA GENERAL</t>
  </si>
  <si>
    <t>1403</t>
  </si>
  <si>
    <t xml:space="preserve">OBJETIVO: Coordinar los procesos y procedimientos de todas las oficinas a cargo de la Contaduría General: Pagos, </t>
  </si>
  <si>
    <t>Presupuesto, Patrimonio, Compras y Suministros, Administración y Gestión Económica, y demás áreas de la Secretaría.</t>
  </si>
  <si>
    <t>Realizar y cumplir conforme las funciones, facultades y deberes asignados por la COM y ordenanzas específicas: con el</t>
  </si>
  <si>
    <t>registro y control interno de la gestión económica y financiera del Estado Municipal, libros obligatorios y Balance General.</t>
  </si>
  <si>
    <t>UNIDAD EJECUTORA: Contaduría General.</t>
  </si>
  <si>
    <t>PROGRAMA: TESORERÍA</t>
  </si>
  <si>
    <t>1404</t>
  </si>
  <si>
    <t>OBJETIVO: Control de las operaciones bancarias y conciliación de sus saldos. El seguimiento de la evolución de la</t>
  </si>
  <si>
    <t>gestión financiera de la administración municipal, para proveer información confiable para la toma de decisiones.</t>
  </si>
  <si>
    <t xml:space="preserve">Realizar una oportuna emisión de pagos y un regristro eficaz y eficiente de ingresos (municipales y de otras </t>
  </si>
  <si>
    <t>jurisdicciones).</t>
  </si>
  <si>
    <t>Custodia de los fondos municipales.</t>
  </si>
  <si>
    <t>UNIDAD EJECUTORA: Tesorería.</t>
  </si>
  <si>
    <t>2.1.1.3.06.01</t>
  </si>
  <si>
    <t>Gastos Bancarios</t>
  </si>
  <si>
    <t>2.1.1.3.06.02</t>
  </si>
  <si>
    <t>Comisiones por Recaudación</t>
  </si>
  <si>
    <t>Equipos y Aparatos de Seguridad</t>
  </si>
  <si>
    <t>PROGRAMA: SISTEMAS, INFORMÁTICA Y TELECOMUNICACIONES - NTIC'S</t>
  </si>
  <si>
    <t>1405</t>
  </si>
  <si>
    <t>OBJETIVO: Instrumentar programas tendientes a modernizar el Estado Municipal, eficientizar sus prestaciones</t>
  </si>
  <si>
    <t>y brindar más y mejores servicios.</t>
  </si>
  <si>
    <t>Incrementar la calidad, eficiencia y transparencia a través de las NTIC´S.</t>
  </si>
  <si>
    <t>Centralizar el mantenimiento de la infraestructura tecnológica municipal y el procesamiento informático de la</t>
  </si>
  <si>
    <t>información de gestión.</t>
  </si>
  <si>
    <t>UNIDAD EJECUTORA: Subsecretaría deTecnologías.</t>
  </si>
  <si>
    <t>Materiales de Conservaciones Varias</t>
  </si>
  <si>
    <t>2.1.1.3.01.04</t>
  </si>
  <si>
    <t>Teléfonía, Telefax, Internet y similar</t>
  </si>
  <si>
    <t>Mantenimiento y Reparación Equipos y Sistemas Informáticos y de Comunicación en General</t>
  </si>
  <si>
    <t>2.2.1.1.04.03</t>
  </si>
  <si>
    <t>Equipos y Aparatos de Telefonía</t>
  </si>
  <si>
    <t>PROGRAMA: ECONOMÍA SOCIAL</t>
  </si>
  <si>
    <t>1406</t>
  </si>
  <si>
    <t>OBJETIVO: Establecer estrategias de intervención y gestión en las unidades de producción agroalimentaria local.</t>
  </si>
  <si>
    <t>fomentar la doctrina socio-económica que promueve la organización de las personas para satisfacer de manera</t>
  </si>
  <si>
    <t>conunta sus necesidades a través del Cooperativismo, Mutualismo y Asociativismo.</t>
  </si>
  <si>
    <t xml:space="preserve">Vincular a los microemprendedores y PyMES locales con los programas nacionales y provinciales de créditos, </t>
  </si>
  <si>
    <t>subsidios y capacitación, para lograr el fortalecimiento y crecimiento del sector.</t>
  </si>
  <si>
    <t>apoyar a la creación y desarrollo de pequeñas empresas en sus primeras etapas de vida, tanto en aspectos de</t>
  </si>
  <si>
    <t>gestión empresarial como en el acceso a instalaciones y recursos.</t>
  </si>
  <si>
    <t>UNIDAD EJECUTORA: Coordinación de Economía Social y Solidaria.</t>
  </si>
  <si>
    <t>2.1.1.2.02</t>
  </si>
  <si>
    <t>PROGRAMA: INVERSIONES, APLICACIONES Y OTRAS PREVISIONES FINANCIERAS</t>
  </si>
  <si>
    <t>1407</t>
  </si>
  <si>
    <t>OBJETIVO: La coordinación de todo el accionar inherente al manejo de la Economía y las Finanzas del municipio.</t>
  </si>
  <si>
    <t>La definición de las políticas económicas a seguir.</t>
  </si>
  <si>
    <t>PARTICIPACIONES DE CAPITAL Y ACTIVOS FINANCIEROS</t>
  </si>
  <si>
    <t>2.2.2.1.01.</t>
  </si>
  <si>
    <t>Aportes de Capital</t>
  </si>
  <si>
    <t>2.2.2.1.01.01</t>
  </si>
  <si>
    <t>Aportes de Capital a Soc. Estado y/o Soc. de Economía Mixta</t>
  </si>
  <si>
    <t>2.2.2.1.01.02</t>
  </si>
  <si>
    <t>Aportes de Capital a Instituciones Públicas Financieras</t>
  </si>
  <si>
    <t>2.2.2.1.01.03</t>
  </si>
  <si>
    <t>Aportes de Capital a Fondos Fiduciarios</t>
  </si>
  <si>
    <t>2.2.2.1.01.04</t>
  </si>
  <si>
    <t>Otros Aportes de Capital</t>
  </si>
  <si>
    <t>2.2.2.1.02.</t>
  </si>
  <si>
    <t>Títulos y Valores</t>
  </si>
  <si>
    <t>2.2.2.1.02.01</t>
  </si>
  <si>
    <t>Títulos y Valores de Corto y Largo Plazo</t>
  </si>
  <si>
    <t>2.2.2.1.03.</t>
  </si>
  <si>
    <t>Préstamos</t>
  </si>
  <si>
    <t>2.2.2.1.03.01</t>
  </si>
  <si>
    <t>Préstamos a Municipios y Entes Comunales</t>
  </si>
  <si>
    <t>2.2.2.1.03.02</t>
  </si>
  <si>
    <t>Otros Préstamos</t>
  </si>
  <si>
    <t>2.2.2.1.04.</t>
  </si>
  <si>
    <t>Otras Participaciones</t>
  </si>
  <si>
    <t>2.2.2.1.04.01</t>
  </si>
  <si>
    <t>Aporte Fonfo Permanente Pcial. para Obras 1% - Ord. 5427</t>
  </si>
  <si>
    <t>AMORTIZACIÓN DE LA DEUDA</t>
  </si>
  <si>
    <t>2.3.1.1.02.</t>
  </si>
  <si>
    <t>Con Organismos Provinciales</t>
  </si>
  <si>
    <t>2.3.1.1.02.01</t>
  </si>
  <si>
    <t>I.P.V. - FOVICOR</t>
  </si>
  <si>
    <t>2.3.1.1.02.02</t>
  </si>
  <si>
    <t xml:space="preserve">Préstamos Provinciales - Fondo Permanente </t>
  </si>
  <si>
    <t>2.3.1.1.02.03</t>
  </si>
  <si>
    <t>Ley Provincial Refinanciación Deuda Ley 9802</t>
  </si>
  <si>
    <t>´56385*12</t>
  </si>
  <si>
    <t>se retiene en la 2º quinc.</t>
  </si>
  <si>
    <t>2.3.1.1.02.04</t>
  </si>
  <si>
    <t>Préstamo Provincial Ley 9854 - Vida Digna</t>
  </si>
  <si>
    <t>2.3.1.1.02.05</t>
  </si>
  <si>
    <t>Préstamo Provincial Ley 9740 - FOPROP</t>
  </si>
  <si>
    <t>2.3.1.1.02.06</t>
  </si>
  <si>
    <t>Otros Préstamos Tomados</t>
  </si>
  <si>
    <t>2.3.1.1.02.07</t>
  </si>
  <si>
    <t>Otras Amortizaciones de Deudas con Organismos Provinciales</t>
  </si>
  <si>
    <t>2.3.1.1.03.</t>
  </si>
  <si>
    <t>Con Instituciones Bancarias y Financieras</t>
  </si>
  <si>
    <t>2.3.1.1.03.01</t>
  </si>
  <si>
    <t>Amortización Préstamos Bancarios</t>
  </si>
  <si>
    <t>2.3.1.1.03.02</t>
  </si>
  <si>
    <t>Otras Amortizaciones de Deudas con Instituciones Financieras</t>
  </si>
  <si>
    <t>2.3.1.1.04.</t>
  </si>
  <si>
    <t>Con Otras Entidades del Sector Privado</t>
  </si>
  <si>
    <t>2.3.1.1.04.01</t>
  </si>
  <si>
    <t>Caja Prev. y Seg. Social de Abogados y Procuradores de la Pcia. de Cba.</t>
  </si>
  <si>
    <t>2.3.1.1.04.02</t>
  </si>
  <si>
    <t>Otras Amortizaciones de Deudas con Otras Entidades del Sector Privado</t>
  </si>
  <si>
    <t>2.3.1.1.05.</t>
  </si>
  <si>
    <t>De Títulos y Bonos Emitidos por el Estado Municipal</t>
  </si>
  <si>
    <t>2.3.1.1.05.01</t>
  </si>
  <si>
    <t>Amortización de Títulos y Bonos Emitidos por el Estado Municipal</t>
  </si>
  <si>
    <t>NO CLASIFICADOS</t>
  </si>
  <si>
    <t>2.4.1.</t>
  </si>
  <si>
    <t>Créditos Especiales</t>
  </si>
  <si>
    <t>2.4.2.</t>
  </si>
  <si>
    <t>Plan Habitacional B° San Martín (400 viviendas)</t>
  </si>
  <si>
    <t>SECRETARÍA DE DESARROLLO SOCIAL</t>
  </si>
  <si>
    <t>DE LA SECRETARÍA DE DESARROLLO SOCIAL</t>
  </si>
  <si>
    <t>OBJETIVO: Promover el empoderamiento y la participación social. Implementar políticas sociales integradoras</t>
  </si>
  <si>
    <t>e integrales que fomenten la universalidad, solidaridad e igualdad de oportunidades.</t>
  </si>
  <si>
    <t>Coordinar con organismos públicos y/o privados que atiendan la problemática social de los distintos grupos</t>
  </si>
  <si>
    <t>de la comunidad.</t>
  </si>
  <si>
    <t>Intervenir en forma articulada entre las distintas políticas, servicios, poderes estatales y niveles de gobierno,</t>
  </si>
  <si>
    <t>las familias, las instituciones sociales y la comunidad, a través de la interrelación entre el Consejo Municipal de la Mujer,</t>
  </si>
  <si>
    <t xml:space="preserve">Consejo de Protección y Promoción de los Niños, Adolescentes y Familias, el área Local de Protección Integral de </t>
  </si>
  <si>
    <t>Derechos de Niñas, Niños y Adolescentes, el Consejo Asesor de Discapacidad y Consejo Asesor de Adultos Mayores.</t>
  </si>
  <si>
    <t>UNIDAD EJECUTORA: Secretaría de Desarrollo Social.</t>
  </si>
  <si>
    <t>2.1.1.3.02.05</t>
  </si>
  <si>
    <t>Derechos de Bienes Intangibles</t>
  </si>
  <si>
    <t>1 fact</t>
  </si>
  <si>
    <t xml:space="preserve">2.1.1.4.02.04    </t>
  </si>
  <si>
    <t>PROGRAMA: ASISTENCIA Y CONTENCIÓN FAMILIAR</t>
  </si>
  <si>
    <t>1502</t>
  </si>
  <si>
    <t xml:space="preserve">OBJETIVO: Contener y asistir a la población en situación de emergencia social cuya criticidad o urgencia requieran </t>
  </si>
  <si>
    <t>de una intervención social inmediata, garantizando el ejercicio pleno de sus derechos.</t>
  </si>
  <si>
    <t>Promover el desarrollo integral de las capacidades y potencialidades de las familias de la ciudad de Villa María</t>
  </si>
  <si>
    <t xml:space="preserve">que se encuentran en situación de vulnerabilidad y/o riesgo social, a través de la ejecución de acciones de integración </t>
  </si>
  <si>
    <t xml:space="preserve">de políticas activas de desarrollo social y fortaleciendo una alianza estratégica de todas las áreas del Municipio, </t>
  </si>
  <si>
    <t xml:space="preserve">propiciando líneas transversales de acción donde el eje central sea contribuir a la superación de la pobreza y al </t>
  </si>
  <si>
    <t>mejoramiento de la calidad de vida de las familias en todo su ciclo vital.</t>
  </si>
  <si>
    <t>Promover la detección de situaciones de violencia familiar y maltrato infantil desde las redes sociales, tendiendo a</t>
  </si>
  <si>
    <t>evitar la reiteración de hechos de violencia en el ámbito familiar.</t>
  </si>
  <si>
    <t>Procurar medidas de protección a personas víctimas de situaciones de violencia y/o delitos.</t>
  </si>
  <si>
    <t xml:space="preserve">2.1.1.3.09.01      </t>
  </si>
  <si>
    <t>2.1.1.4.02.01</t>
  </si>
  <si>
    <t xml:space="preserve">Pasajes y Abonos de Transporte </t>
  </si>
  <si>
    <t>PROGRAMA: COORDINACIÓN DE POLÍTICAS SOBRE NIÑEZ</t>
  </si>
  <si>
    <t>OBJETIVO: Concientizar a la población a través de acciones concretas sobre: la importancia de conocer, proteger</t>
  </si>
  <si>
    <t>y promover los Derechos de los Niños; la superación de la pobreza y al mejoramiento de la calidad de vida de las</t>
  </si>
  <si>
    <t>familias en todo su ciclo vital.</t>
  </si>
  <si>
    <t>Ejecutar talleres culturales, deportivos, recreativos en espacios públicos para el desarrollo de las capacidades y</t>
  </si>
  <si>
    <t>posibilidades integrales de los niños que sirvan como canalizadores de las energías creativas del ser humano</t>
  </si>
  <si>
    <t>y su vinculación con la comunidad.</t>
  </si>
  <si>
    <t>Coordinar y gestionar los Centros de Promoción Familiar, que tienen como fin escencial la motivación, el aprendizaje,</t>
  </si>
  <si>
    <t>la contención y la estimulación temprana y pedagógica de niños de escasos recursos y su grupo familiar.</t>
  </si>
  <si>
    <t xml:space="preserve">Procurar y brindar espacios públicos como "Hogar La Marietita" y  través del Programa "SUMATE",  para el desarrollo de </t>
  </si>
  <si>
    <t>capacidades, posibilidades integrales e igualdad de oportunidades de los niños.</t>
  </si>
  <si>
    <t>UNIDAD EJECUTORA: Coordinación de Niñez.</t>
  </si>
  <si>
    <t>Prendas de Vestir, Uniformes y Otros Accesorios o Artículos de Ropería</t>
  </si>
  <si>
    <t>2.1.1.2.04.02</t>
  </si>
  <si>
    <t>Útiles, Artículos de Librería, Insumos de Enseñanza</t>
  </si>
  <si>
    <t>2.1.1.2.04.03</t>
  </si>
  <si>
    <t>Juegos, Material Didáctico, de Enseñanza y Recreación</t>
  </si>
  <si>
    <t>PROGRAMA: COORDINACIÓN DE POLÍTICAS SOBRE ADOLESCENCIA</t>
  </si>
  <si>
    <t>OBJETIVO: Gestionar programas y proyectos dirigidos a adolescentes de la ciudad de Villa María, a fin</t>
  </si>
  <si>
    <t>de garantizar el cumplimiento de los derechos según lo establecido en la Ley 26.061.</t>
  </si>
  <si>
    <t>Continuar con los programas Centro de Capacitación Nuevas Oportunidades e Iniciando Caminos.</t>
  </si>
  <si>
    <t xml:space="preserve">Generar un espacio de atención integral a las mamás adolescentes y al niño recién nacido, a través de la </t>
  </si>
  <si>
    <t xml:space="preserve">contención social, cooperación y desarrollo de emprendimientos sustentables, mediante la formación de </t>
  </si>
  <si>
    <t>oficios y espacios de prevención.</t>
  </si>
  <si>
    <t>UNIDAD EJECUTORA: Coordinación de Adolescencia.</t>
  </si>
  <si>
    <t xml:space="preserve">PROGRAMA: COORDINACIÓN DE POLÍTICAS SOBRE DISCAPACIDAD  </t>
  </si>
  <si>
    <t xml:space="preserve">OBJETIVO: Ejecución de programas que atiendan las necesidades de personas con discapacidad de la Ciudad, </t>
  </si>
  <si>
    <t>con el objetivo de mejorar la calidad de vida e independencia favoreciendo la diversidad e integración bio-psico-social.</t>
  </si>
  <si>
    <t xml:space="preserve">Promover el pleno ejercicio de los derechos reconocidos en la convención sobre los derechos de las personas con </t>
  </si>
  <si>
    <t>discapacidad (Ley 26.378), a través de la ejecución de programas que atiendan la problemática y proponiendo</t>
  </si>
  <si>
    <t>la adecuación normativa y legislativa a nivel local.</t>
  </si>
  <si>
    <t>Brindar capacitación e inclusión laboral a Jóvenes y Adultos con discapacidad que se encuentren en condiciones</t>
  </si>
  <si>
    <t>de insertarse al mercado laboral.</t>
  </si>
  <si>
    <t>Continuación de los programas Sin Barreras e Integrando y la implementación de nuevas propuestas.</t>
  </si>
  <si>
    <t xml:space="preserve">Coordinación y gestión del Centro Municipal para el desarrollo Integral del Discapacitad (CEMDI) y del Centro de </t>
  </si>
  <si>
    <t>Rehabilitación Enrique Elisalde.</t>
  </si>
  <si>
    <t>UNIDAD EJECUTORA: Subsecretaría de Desarrollo Social -  Coordinación de Discapacidad.</t>
  </si>
  <si>
    <t xml:space="preserve">                </t>
  </si>
  <si>
    <t>PROGRAMA: ADULTOS MAYORES</t>
  </si>
  <si>
    <t xml:space="preserve">OBJETIVOS: Implementar políticas sociales, programas y proyectos en beneficio de los Adultos Mayores de la </t>
  </si>
  <si>
    <t>ciudad, teniendo una mirada integral e integradora del ser humano.</t>
  </si>
  <si>
    <t>Asesorar, tramitar y realizar el seguimiento de pensiones no contributivas destinada a las personas que cumplan con</t>
  </si>
  <si>
    <t>los requisitos necesarios para las mismas.</t>
  </si>
  <si>
    <t>Producir y difundir conocimientos gerontológicos para una mejor preparación de la sociedad ante el proceso</t>
  </si>
  <si>
    <t>del envejecimiento.</t>
  </si>
  <si>
    <t>Brindar asesoramiento y control, a través de inspecciones, a geriátricos y guarderías del sector privado de acuerdo</t>
  </si>
  <si>
    <t>a las normativas estipuladas en la Ordenanza Municipal nº 3503.</t>
  </si>
  <si>
    <t>UNIDAD EJECUTORA: Subsecretaría de Desarrollo Social.</t>
  </si>
  <si>
    <t>SECRETARÍA DE PREVENCIÓN COMUNITARIA Y DERECHOS HUMANOS</t>
  </si>
  <si>
    <t>DE LA SECRETARÍA DE PREVENCIÓN COMUNITARIA Y DERECHOS HUMANOS</t>
  </si>
  <si>
    <t xml:space="preserve">OBJETIVO: Asistir al Departamento Ejecutivo Municipal en todo lo inherente a la elaboración de políticas de prevención </t>
  </si>
  <si>
    <t xml:space="preserve">en el ámbito municipal. </t>
  </si>
  <si>
    <t>Elaborar conjuntamente con las autoridades nacionales y provinciales planes y programas de prevención comunitaria.</t>
  </si>
  <si>
    <t>Coordinar acciones vinculadas a la promocióny protección de los derechos humanos.</t>
  </si>
  <si>
    <t>Planificar, organizar y ejecutar la política proteccional de los Derechos Humanos.</t>
  </si>
  <si>
    <t xml:space="preserve">Elaborar planes, programas y ejecutar acciones de prevención, principalmente de adicciones. </t>
  </si>
  <si>
    <t>Intervenir en todos los conflictos de seguridad ciudadana.</t>
  </si>
  <si>
    <t>UNIDAD EJECUTORA: Secretaría de Prevención Comunitaria y Derechos Humanos.</t>
  </si>
  <si>
    <t>Servicios de Seguridad y Vigiliancia</t>
  </si>
  <si>
    <t>Policía de la Pcia de Córdoba</t>
  </si>
  <si>
    <t>gastos festival</t>
  </si>
  <si>
    <t>PROGRAMA: CONVIVENCIA URBANA Y TRÁNSITO</t>
  </si>
  <si>
    <t>OBJETIVO: Elaborar y dirigir programas para la organización del tránsito de vehículos y peatones en el área</t>
  </si>
  <si>
    <t>urbana. Ejercer el poder de policía en materia de tránsito para el control del cumplimiento de las normas regulatorias</t>
  </si>
  <si>
    <t>de la circulación, estacionamiento y todas las de competencia de la materia.</t>
  </si>
  <si>
    <t>Realizar actividades destinadas a la educación y capacitación vial.</t>
  </si>
  <si>
    <t>UNIDAD EJECUTORA: Subsecretaría de Prevención Comunitaria.</t>
  </si>
  <si>
    <t>Se incluyen chapas p/nomencladores</t>
  </si>
  <si>
    <t>2.2.1.1.02.03</t>
  </si>
  <si>
    <t>Semáforos y Otros Equipos de Señalización</t>
  </si>
  <si>
    <t>aca se imputarán vallas de señaliz</t>
  </si>
  <si>
    <t>PROGRAMA: COORDINACIÓN DE DERECHOS HUMANOS</t>
  </si>
  <si>
    <t>OBJETIVO: Coordinar acciones vinculadas a la promoción y protección de los Derechos Humanos mediante la elaboración</t>
  </si>
  <si>
    <t>y ejecución de planes y programas relacionados a derechos civiles, políticos, económicos y comunitarios.</t>
  </si>
  <si>
    <t>Intervenir en el seguimiento de situaciones que impliquen conflictos sociales.</t>
  </si>
  <si>
    <t>UNIDAD EJECUTORA: Subsecretaría de Derechos Humanos.</t>
  </si>
  <si>
    <t>Gastos Varios Protocolares y de Organización Eventos</t>
  </si>
  <si>
    <t>PROGRAMA: INSPECCIÓN GENERAL</t>
  </si>
  <si>
    <t>OBJETIVO: La inspección del cumplimiento de las normativas reguladoras de las actividades de comercios e industrias para su habilitación.</t>
  </si>
  <si>
    <t xml:space="preserve">Proteger la salud y la vida disminuyendo la incidencia de las Enfermedades transmitidas por los alimentos (ETAS), </t>
  </si>
  <si>
    <t xml:space="preserve">al tiempo de asegurar al ciudadano el control de calidad de los alimentos en las distintas etapas, certificando el </t>
  </si>
  <si>
    <t>cumplimiento de la normativa vigente.</t>
  </si>
  <si>
    <t>UNIDAD EJECUTORA: Subsecretaría de Inpección General.</t>
  </si>
  <si>
    <t>Insecticidas, Fumigantes y Otros</t>
  </si>
  <si>
    <t>2.1.1.2.06</t>
  </si>
  <si>
    <t>Productos Farmacéuticos y Medicinales</t>
  </si>
  <si>
    <t>2.1.1.2.06.01</t>
  </si>
  <si>
    <t>Compuestos y Productos Químicos de Uso Medicinal, Famaceútico y de Laboratorio</t>
  </si>
  <si>
    <t>2.1.1.2.06.02</t>
  </si>
  <si>
    <t>Descartables, Material de Cirugía y Curación</t>
  </si>
  <si>
    <t>2.1.1.2.06.04</t>
  </si>
  <si>
    <t>Útiles, Insumos e Instrumental Menores Médicos, Quirúrgicos y de Laboratorio</t>
  </si>
  <si>
    <t>2.1.1.2.07.03</t>
  </si>
  <si>
    <t>Repuestos y Accesorios Equipos Médico-Sanitarios y de Laboratorio</t>
  </si>
  <si>
    <t xml:space="preserve">2.1.1.2.09.01 </t>
  </si>
  <si>
    <t>2.1.1.3.03.03</t>
  </si>
  <si>
    <t>Mantenimiento y Reparación Equipos Médico-Sanitarios y de Laboratorio</t>
  </si>
  <si>
    <t>2.2.1.1.02.01</t>
  </si>
  <si>
    <t>Equipo e Instrumental Médico-Sanitario y de Laboratorio</t>
  </si>
  <si>
    <t>PROGRAMA: ÁREA DE ZOONOSIS</t>
  </si>
  <si>
    <t>OBJETIVO: Trabajar para dar respuesta definitiva a la necesidad de erradicación de canes de la vía pública.</t>
  </si>
  <si>
    <t xml:space="preserve">Promover y ejecutar políticas de atención sanitaria y guarda respecto de animales recogidos en la vía pública, </t>
  </si>
  <si>
    <t>propiciando una mayor y mejor sanidad animal.</t>
  </si>
  <si>
    <t>Coordinar y administrar el Centro de Adopción Municipal.</t>
  </si>
  <si>
    <t>Concientizar a la ciudadanía sobre la tenencia de animales.</t>
  </si>
  <si>
    <t xml:space="preserve">Realizar campañas de: vacunación antirrábica, castración y adopción de mascotas. </t>
  </si>
  <si>
    <t>Enseñar y educar en Jardines de Infantes y Escuelas sobre la tenencia de mascotas.</t>
  </si>
  <si>
    <t>2.1.1.2.01.02</t>
  </si>
  <si>
    <t>Alimentos para Animales</t>
  </si>
  <si>
    <t>2.1.1.2.06.05</t>
  </si>
  <si>
    <t>Productos Farmacéuticos y Medicinales para Animales</t>
  </si>
  <si>
    <t>CONSEJO MUNICIPAL DE LA SALUD</t>
  </si>
  <si>
    <t>1701</t>
  </si>
  <si>
    <t>OBJETIVO: La promoción, prevención, protección, recuperación y rehabilitación de la salud de los ciudadanos</t>
  </si>
  <si>
    <t>de Villa María.</t>
  </si>
  <si>
    <t>UNIDAD EJECUTORA: Consejo Municipal de la Salud.</t>
  </si>
  <si>
    <t>Productos Alimenticios, Agropecuarios y Agroforestales</t>
  </si>
  <si>
    <t>Servicios de Mantenimiento, Reparaciones y Limpieza</t>
  </si>
  <si>
    <t xml:space="preserve">2.1.1.3.09.03     </t>
  </si>
  <si>
    <t>2.1.1.4.02.11</t>
  </si>
  <si>
    <t>Trámites Varios a Personas de Escasos Recursos</t>
  </si>
  <si>
    <t>PROGRAMA: SISTEMAS MUNICIPALES DE ATENCIÓN DE URGENCIAS Y EMERGENCIAS</t>
  </si>
  <si>
    <t>1702</t>
  </si>
  <si>
    <t>OBJETIVO: Garantizar, con la implementación y apoyo de distintos sistemas de atención,</t>
  </si>
  <si>
    <t>Textiles y Vestuaros</t>
  </si>
  <si>
    <t>Prendas de Vestir,Uniformes y otros accesorio o Artículos de Ropería</t>
  </si>
  <si>
    <t>2.1.1.2.06.</t>
  </si>
  <si>
    <t>Compuestos y Productos Químicos de Uso Medicinal, Farmacéutico y de Laboratorio</t>
  </si>
  <si>
    <t>Útiles, Insumos e Instrumental Menor Médico, Quirúrgico y de Laboratorio</t>
  </si>
  <si>
    <t>2.1.1.3.04.05</t>
  </si>
  <si>
    <t>Sistemas de Atención de Urgencias y Emergencias</t>
  </si>
  <si>
    <t xml:space="preserve">Otros Bienes de Capital   </t>
  </si>
  <si>
    <t>PROGRAMA: SALUD COMUNITARIA</t>
  </si>
  <si>
    <t>1703</t>
  </si>
  <si>
    <t>OBJETIVO: Otorgar las posibilidades de promoción, prevención, tratamiento, rehabilitación y atención necesarias para</t>
  </si>
  <si>
    <t>satisfacer las necesidades sanitarias básicas a la comunidad de Villa María, principalmente al sector poblacional de</t>
  </si>
  <si>
    <t>menores recursos.</t>
  </si>
  <si>
    <t>Llegar a los distintos sectores de la ciudad desde la continuidad del Programa Provincial Médicos Comunitarios.</t>
  </si>
  <si>
    <t xml:space="preserve">Desarrollar actividades de Información y Educación para la Salud, con la finalidad de concientizar a la población </t>
  </si>
  <si>
    <t>acerca de lo que significa estar sano, a través de diversas campañas de prevención y concientización, tales como:</t>
  </si>
  <si>
    <t>– Prevención de enfermedades de transmisión sexual (SIDA-ITS).</t>
  </si>
  <si>
    <t>– Atención integral al paciente con enfermedades crónicas (HTA-Diabetes).</t>
  </si>
  <si>
    <t>– Contención y prevención de enfermedades emergentes y reemergentes a través del CEERE.</t>
  </si>
  <si>
    <t>– Formación en APS (Atención Primaria de la Salud).</t>
  </si>
  <si>
    <t>– Organizar el Registro de los datos provenientes de los CAPS y demás servicios, con el objeto de generar Estadística</t>
  </si>
  <si>
    <t>e Indicadores sanitarios locales.</t>
  </si>
  <si>
    <t>– Notificar al Sistema VIGIA.</t>
  </si>
  <si>
    <t>– Continuación y Ampliación del Sistema de Historia Clínica Digital.</t>
  </si>
  <si>
    <t xml:space="preserve">Promover y priorizar la Salud Materno Infantil, brindando una cobertura integral a madres y niños,   apuntando a </t>
  </si>
  <si>
    <t>la prevención de enfermedades y asistencia médica a través de diversas acciones y campañas desarrolladas durante</t>
  </si>
  <si>
    <t>todo el año:</t>
  </si>
  <si>
    <t>– Control de embarazo bajo riesgo.</t>
  </si>
  <si>
    <t>– Promoción de la lactancia materna.</t>
  </si>
  <si>
    <t>– Control de crecimiento y desarrollo infantil (hasta los 10 años).</t>
  </si>
  <si>
    <t>– Monitoreo de niños con riesgo de desnutrición, tratamiento e información sobre alimentación oportuna (Área Nutrición).</t>
  </si>
  <si>
    <t>– Prevención y atención del cáncer genito mamario.</t>
  </si>
  <si>
    <t>– Maternidad y paternidad responsables.</t>
  </si>
  <si>
    <t>– Plan Nacer.</t>
  </si>
  <si>
    <t>– Programa Vacuna Oportuna (Calendario Oficial de Vacunación).</t>
  </si>
  <si>
    <t>Implementar una serie de acciones contra las enfermedades cardiovasculares bajo el lema "Corazón Sano", tales como:</t>
  </si>
  <si>
    <t>– Detección de factores de riesgo, abordaje comunitario de los problemas asociados al deterioro cognitivo y</t>
  </si>
  <si>
    <t xml:space="preserve">demensia. </t>
  </si>
  <si>
    <t>– CARISMA - Síndrome Metabólico.</t>
  </si>
  <si>
    <t>– CARISMA - COG.</t>
  </si>
  <si>
    <t>– Villa María en Movimiento.</t>
  </si>
  <si>
    <t>– Villa María Cardioprotegida.</t>
  </si>
  <si>
    <t>Tratamiento de patologías asociadas al primer nivel de atención. Prevención y promoción de la salud bucodental y oftalmológica.</t>
  </si>
  <si>
    <t>Difundir la problemática de la enfermedad mental y promover su integración a la sociedad.</t>
  </si>
  <si>
    <t>Coordinar la ejecución de actividades y acciones de prevención, atención y rehabilitación dirigidas</t>
  </si>
  <si>
    <t xml:space="preserve">Hospital Día Encuentro, Consultorio Jóven, Casa de Medio Camino y Centro de Estudio, Talleres diversos </t>
  </si>
  <si>
    <t>y Acciones de apoyo a Veteranos de Guerra.</t>
  </si>
  <si>
    <t>2.1.1.2.06.03</t>
  </si>
  <si>
    <t>Insumos para Diagnósticos por Imágenes</t>
  </si>
  <si>
    <t>2.1.1.2.09.04</t>
  </si>
  <si>
    <t>Elementos de Deporte</t>
  </si>
  <si>
    <t>Alquileres de Maquinarias, Equipos y Medios de Transporte</t>
  </si>
  <si>
    <t>Mantenimiento y Reparaciones Equipos Médico-Sanitarios y de Laboratorio</t>
  </si>
  <si>
    <t xml:space="preserve">Mantenimiento y Reparación Rodados </t>
  </si>
  <si>
    <t>PROGRAMA: HOGAR DE ANCIANOS</t>
  </si>
  <si>
    <t xml:space="preserve">OBJETIVO: Brindar al Adulto Mayor que reside en el hogar una atención integral satisfaciendo necesidades de </t>
  </si>
  <si>
    <t>alimentación, salud, contención física y social.</t>
  </si>
  <si>
    <t>Promover derechos y potencialidades de los Adultos Mayores, fomentando un envejecimiento activo y saludable.</t>
  </si>
  <si>
    <t xml:space="preserve">2.1.1.2.09. </t>
  </si>
  <si>
    <t>UNIVERSIDAD POPULAR</t>
  </si>
  <si>
    <t>1801</t>
  </si>
  <si>
    <t xml:space="preserve">OBJETIVO: Colaborar y asesorar al D.E.M. en todas las funciones y competencias que al mismo corresponden </t>
  </si>
  <si>
    <t>en las áreas de cultura, educación, juventud, Biblioteca Municipal y Popular Mariano Moreno, Centro de Innovación</t>
  </si>
  <si>
    <t>Tecnológica y Patrimonio Histórico.</t>
  </si>
  <si>
    <t>La promoción, asistencia, fiscalización y ejecución de planes de actividades vinculados a las áreas antes mencionadas.</t>
  </si>
  <si>
    <t>Optimizar la articulación institucional interna y externa para un trabajo mancomunado de Estado-Sociedad.</t>
  </si>
  <si>
    <t>UNIDAD EJECUTORA: Universidad Popular.</t>
  </si>
  <si>
    <t>2.1.1.3.03</t>
  </si>
  <si>
    <t>2.1.1.3.07</t>
  </si>
  <si>
    <t>2.1.1.4.02.07</t>
  </si>
  <si>
    <t>Apoyo a Proyectos y Artistas o Autores Locales y Regionales</t>
  </si>
  <si>
    <t>1802</t>
  </si>
  <si>
    <t>OBJETIVO: Diagnosticar y evaluar las problemáticas referentes al desarrollo del aprendizaje, registro de casos y</t>
  </si>
  <si>
    <t>seguimiento de los mismos, especialmente en sectores vulnerables. Minimizar la deserción y reducir el fracaso en</t>
  </si>
  <si>
    <t>el ámbito educativo de nuestra ciudad.</t>
  </si>
  <si>
    <t>Llevar a cabo diferentes actividades como:</t>
  </si>
  <si>
    <r>
      <rPr>
        <i/>
        <sz val="10"/>
        <rFont val="Arial Narrow"/>
        <family val="2"/>
      </rPr>
      <t>Apoyo Escolar</t>
    </r>
    <r>
      <rPr>
        <sz val="10"/>
        <rFont val="Arial Narrow"/>
        <family val="2"/>
      </rPr>
      <t xml:space="preserve">: para atender las demandas de los sujetos escolarizados a fin de lograr los objetivos académicos </t>
    </r>
  </si>
  <si>
    <t>para evitar el fracaso escolar.</t>
  </si>
  <si>
    <r>
      <rPr>
        <i/>
        <sz val="10"/>
        <rFont val="Arial Narrow"/>
        <family val="2"/>
      </rPr>
      <t>Apoyo al Aprendizaje Escolar</t>
    </r>
    <r>
      <rPr>
        <sz val="10"/>
        <rFont val="Arial Narrow"/>
        <family val="2"/>
      </rPr>
      <t xml:space="preserve">: brindar apoyo escolar a un sector de la población estudiantil primaria </t>
    </r>
  </si>
  <si>
    <t>que presenta necesidades educativas que no pueden ser atendidas por la escuela.</t>
  </si>
  <si>
    <r>
      <rPr>
        <i/>
        <sz val="10"/>
        <rFont val="Arial Narrow"/>
        <family val="2"/>
      </rPr>
      <t>Equipo Interdisciplinario Itinerante</t>
    </r>
    <r>
      <rPr>
        <sz val="10"/>
        <rFont val="Arial Narrow"/>
        <family val="2"/>
      </rPr>
      <t xml:space="preserve">: que trabaja para disminuir los índices de abandono y repetición del año escolar, </t>
    </r>
  </si>
  <si>
    <t>procurando trabajar sobre las causas y consecuencias a nivel individual y social.</t>
  </si>
  <si>
    <t>Acompañar y colaborar con las instituciones educativas públicas de nivel medio de la ciudad en los nuevos</t>
  </si>
  <si>
    <t>contextos sociales y culturales por los que están transitando.</t>
  </si>
  <si>
    <r>
      <t xml:space="preserve">Realizar la </t>
    </r>
    <r>
      <rPr>
        <i/>
        <sz val="10"/>
        <rFont val="Arial Narrow"/>
        <family val="2"/>
      </rPr>
      <t xml:space="preserve">Feria de Oferta Educativa </t>
    </r>
    <r>
      <rPr>
        <sz val="10"/>
        <rFont val="Arial Narrow"/>
        <family val="2"/>
      </rPr>
      <t>que fomenta la participación de jóvenes de la ciudad y la región a conocer las</t>
    </r>
  </si>
  <si>
    <t>diferentes propuestas de las universidades, institutos terciarios oficiales y privados, y de instituciones de capacitación laboral.</t>
  </si>
  <si>
    <t xml:space="preserve">Organizar el 11º Congreso de Educación del Centro del País que convoca a los docentos de la ciudad, la región y a </t>
  </si>
  <si>
    <t>especialistas en temáticas referidas a problemáticas educativas actuales.</t>
  </si>
  <si>
    <t xml:space="preserve">Brindar al niño un espacio social donde pueda expresar libremente sus opiniones, las que serán </t>
  </si>
  <si>
    <t>tenidas en cuenta para la elaboración de las políticas de infancia.</t>
  </si>
  <si>
    <t>UNIDAD EJECUTORA: Dirección de Educación.</t>
  </si>
  <si>
    <t>2 facturantes</t>
  </si>
  <si>
    <t>2.1.1.3.06.06</t>
  </si>
  <si>
    <t>Fletes/Trasporte y Almacenamento</t>
  </si>
  <si>
    <t>Pasajes y Abonos de Transporte</t>
  </si>
  <si>
    <t>2.1.1.4.02.02</t>
  </si>
  <si>
    <t>Ayudas Escolares</t>
  </si>
  <si>
    <t xml:space="preserve">PROGRAMA: CENTRO DE INNOVACIÓN TECNOLÓGICA Y PROCESOS PRODUCTIVOS - </t>
  </si>
  <si>
    <t>1803</t>
  </si>
  <si>
    <t>TECNOTECA</t>
  </si>
  <si>
    <t>OBJETIVO: Promover actividades orientadas a mejorar la alfabetización científica, la formación de competencias</t>
  </si>
  <si>
    <t>de la sociedad en el campo científico y tecnológico así como el mejoramiento de la enseñanza de las ciencias.</t>
  </si>
  <si>
    <t>Promover la constante divulgación orientada a acercar a la sociedad el trabajo científico y de investigación, el conociemiento</t>
  </si>
  <si>
    <t>producido y avances y aplicaciones alcanzados.</t>
  </si>
  <si>
    <t>Conocer nuevas empresas científico tecnológicas y su correspondiente proceso de elaboración.</t>
  </si>
  <si>
    <t>Instrumentar y estimular el conocimiento y la generación de trabajo para los jóvenes.</t>
  </si>
  <si>
    <t xml:space="preserve">UNIDAD EJECUTORA: Centro de Innovación Tecnológica y Procesos Productivos - Tecnoteca. </t>
  </si>
  <si>
    <t>PROGRAMA: MEDIOTECA Y BIBLIOTECA MUNICIPAL Y POPULAR "MARIANO MORENO"</t>
  </si>
  <si>
    <t>1804</t>
  </si>
  <si>
    <t>OBJETIVO: Desarrollar y poner en marcha herramientas tecnológicas para la prestación de los servicios</t>
  </si>
  <si>
    <t xml:space="preserve"> de la biblioteca. Difusión de la colección, servicios y actividades de la institución.</t>
  </si>
  <si>
    <t>Incrementar en cantidad y calidad el fondo bibliográfico, acorde a las necesidades e intereses de los usuarios</t>
  </si>
  <si>
    <t>reales, potenciales y la comunidad en general. Conservar y restaurar la colección existente.</t>
  </si>
  <si>
    <t>Sostener y mejorar el funcionamiento de los servicios de la Biblioteca, a través de la actividad genérica habitual,</t>
  </si>
  <si>
    <t xml:space="preserve">sumando a la misma programas para llegar a las instituciones educativas de la ciudad, a los barrios y a la </t>
  </si>
  <si>
    <t>totalidad de los ciudadanos:</t>
  </si>
  <si>
    <r>
      <t>*</t>
    </r>
    <r>
      <rPr>
        <i/>
        <sz val="10"/>
        <rFont val="Arial Narrow"/>
        <family val="2"/>
      </rPr>
      <t>Extensión Bibliotecaria</t>
    </r>
    <r>
      <rPr>
        <sz val="10"/>
        <rFont val="Arial Narrow"/>
        <family val="2"/>
      </rPr>
      <t xml:space="preserve"> para llegar a los ciudadanos/usuarios en los casos en que, por razones de marginalidad </t>
    </r>
  </si>
  <si>
    <t xml:space="preserve">topográfica, discapacidad física o social no puede acceder a la Biblioteca. </t>
  </si>
  <si>
    <r>
      <rPr>
        <i/>
        <sz val="10"/>
        <rFont val="Arial Narrow"/>
        <family val="2"/>
      </rPr>
      <t>*Extensión Cultural</t>
    </r>
    <r>
      <rPr>
        <sz val="10"/>
        <rFont val="Arial Narrow"/>
        <family val="2"/>
      </rPr>
      <t xml:space="preserve"> para insertar la Biblioteca y sus recursos en toda la comunidad, para conseguir que ésta se conozca </t>
    </r>
  </si>
  <si>
    <t>más y mejor.</t>
  </si>
  <si>
    <t>UNIDAD EJECUTORA: Medioteca y Biblioteca Municipal y Popular "Mariano Moreno".</t>
  </si>
  <si>
    <t>2.2.1.1.06.01</t>
  </si>
  <si>
    <t>Colecciones y Elementos de Biblioteca y Museos</t>
  </si>
  <si>
    <t xml:space="preserve">Colecciones Audio-Visuales </t>
  </si>
  <si>
    <t>PROGRAMA: CENTRO CULTURAL COMUNITARIO "LEONARDO FAVIO"</t>
  </si>
  <si>
    <t>1805</t>
  </si>
  <si>
    <t xml:space="preserve">OBJETIVO: El funcionamiento en la ciudad de un Parque temático vinculado con la cultura de niños y  jóvenes, eje </t>
  </si>
  <si>
    <t>de convocatoria para el desarrollo recreativo y turístico de la ciudad.</t>
  </si>
  <si>
    <t>Generar espacios de formación y creación artística destinados a distintos grupos etarios, a través de Talleres Culturales.</t>
  </si>
  <si>
    <t>Estimular el desarrollo musical de la ciudad y acompañar la capacitación de los músicos.</t>
  </si>
  <si>
    <t>Brindar un espacio a todos los artistas plásticos para que puedan exponer sus obras y posicionarlo como</t>
  </si>
  <si>
    <t>referente cultural de la ciudad.</t>
  </si>
  <si>
    <t xml:space="preserve">Sostener y profundizar las articulaciones institucionales de la UNVM e Instituciones Terciarias para garantizar la </t>
  </si>
  <si>
    <t>difusión del cine argentino e iberoamericano, en la formación de los futuros realizadores villamarienses.</t>
  </si>
  <si>
    <t>Promover la difusión de producciones locales y regionales que hacen al desarrollo cultural de nuestra región.</t>
  </si>
  <si>
    <t xml:space="preserve">Dar continuidad al Espacio Incaa 555, a través de la renovación del convenio con el Instituto Nacional de Cine y </t>
  </si>
  <si>
    <t>Artes Audiovisuales.</t>
  </si>
  <si>
    <t>DURACIÓN ESTIMADA: a determinar.</t>
  </si>
  <si>
    <t>2.2.1.1.04.06</t>
  </si>
  <si>
    <t>Instrumentos Musicales</t>
  </si>
  <si>
    <t>1806</t>
  </si>
  <si>
    <t xml:space="preserve">OBJETIVO: Generar un espacio de participación comunitaria en todo lo referente al aspecto cultural y artístico. </t>
  </si>
  <si>
    <t>Coordinar los diversos programas implementados desde la dirección de cultura.</t>
  </si>
  <si>
    <t>Realizar espectáculos artísticos y otras manifestaciones culturales con identificación comunitaria.</t>
  </si>
  <si>
    <t>Organizar la Feria del Libro de la ciudad, Olimpiadas Culturales, Concursos de Proyectos y el Costanera Rock.</t>
  </si>
  <si>
    <t xml:space="preserve">Fomentar la producción literaria, musical y audiovisual, a través de la edición de diferentes formatos de las </t>
  </si>
  <si>
    <t>producciones de autores locales (libros, CD, DVD, etc.).</t>
  </si>
  <si>
    <t xml:space="preserve">Generar espacios de desarrollo artístico de todo género para los vecinos de la ciudad y la región, </t>
  </si>
  <si>
    <t>considerando las necesidades y expectativas generacionales.</t>
  </si>
  <si>
    <t>*El Elenco Municipal de Teatro: difunde la actividad teatral en todos los ámbitos de la ciudad a través de los</t>
  </si>
  <si>
    <t>elencos infantiles, juveniles y de adultos.</t>
  </si>
  <si>
    <t>*La Escuela Municipal de Teatro de Títeres "Héctor Di Mauro", promueve la creatividad y la expresión a partir de la</t>
  </si>
  <si>
    <t>manipulación de títeres, la aplicación de técnicas plásticas para la confección de los muñecos y el desarrollo de obras infantiles.</t>
  </si>
  <si>
    <t>*La Orquesta Municipal de Música Ciudadana: promueve la música ciudadana a través de presentaciones de la orquesta,</t>
  </si>
  <si>
    <t>y la representación de la ciudad en distintos puntos del país.</t>
  </si>
  <si>
    <t>*El Departamento de Tango y Folklore: vincula las diferentes expresiones culturales nacionales para la</t>
  </si>
  <si>
    <t>incentivación de la participación comunitaria en torno a las distintas manifestaciones populares del tango y el folklore.</t>
  </si>
  <si>
    <t>UNIDAD EJECUTORA: Dirección de Cultura.</t>
  </si>
  <si>
    <t>1807</t>
  </si>
  <si>
    <t xml:space="preserve">OBJETIVO: Articular el trabajo de la Dirección de Juventud con el resto de las áreas de la Municipalidad en </t>
  </si>
  <si>
    <t>actividades destinadas a mejorar la calidad de vida de los jóvenes.</t>
  </si>
  <si>
    <t>Brindar a los jóvenes de nuestra ciudad y región un espacio de recreación y esparcimiento, de inclusión y</t>
  </si>
  <si>
    <t xml:space="preserve">expresión artística en las diferentes celebraciones como: "Día del Amigo", "Día del Estudiante", "Día Nacional de la </t>
  </si>
  <si>
    <t>Juventud" y "Día Internacional de la Juventud".</t>
  </si>
  <si>
    <t xml:space="preserve">Llevar adelante el ciclo MERCOSUR JOVEN, trabajando desde la conciencia democrática, fortaleciendo la integración </t>
  </si>
  <si>
    <t xml:space="preserve">regional y reafirmando la identidad cultural de las comunidades que integran el MERCOSUR. </t>
  </si>
  <si>
    <t xml:space="preserve">Brindarles a los estudiantes de la región del ENINDER la posibilidad de poder integrarse a este espacio, para que </t>
  </si>
  <si>
    <t>debatan y reflexionen en torno a cuestiones vinculadas a la realidad latinoamericana.</t>
  </si>
  <si>
    <t>UNIDAD EJECUTORA: Área de Juventud.</t>
  </si>
  <si>
    <t>PROGRAMA: PATRIMONIO HISTÓRICO Y MUSEOS</t>
  </si>
  <si>
    <t>1808</t>
  </si>
  <si>
    <t>OBJETIVO: Velar por el Patrimonio Histórico de la ciudad, investigar sobre los aspectos que nos confieren</t>
  </si>
  <si>
    <t xml:space="preserve">identidad como pueblo, y difundir el pasado villamariense. </t>
  </si>
  <si>
    <t>Realización anual del Congreso Provincial de Historia.</t>
  </si>
  <si>
    <t xml:space="preserve">Incrementar y restaurar el Archivo Histórico Municipal, para ordenar y clasificar la documentación existente </t>
  </si>
  <si>
    <t>según criterios técnicos y profesionales. Mantener el Museo Histórico Municipal.</t>
  </si>
  <si>
    <t>Procurar y fortalecer el funcionamiento del Instituto Municipal de Historia.</t>
  </si>
  <si>
    <t>Promover y fomentar la realización de eventos artisticos culturales en el Museo de Bellas Artes Fernando Bonfiglioli</t>
  </si>
  <si>
    <t>con la participación de artistas locales y nacionales.</t>
  </si>
  <si>
    <t>UNIDAD EJECUTORA: Dirección de Patrimonio Histórico y Museos.</t>
  </si>
  <si>
    <t>ASESORÍA LETRADA</t>
  </si>
  <si>
    <t>PROGRAMA: ASESORÍA LETRADA</t>
  </si>
  <si>
    <t>OBJETIVO: Asistir al Sr. Intendente, propiciando la articulación institucional en las cuestiones legales y</t>
  </si>
  <si>
    <t>Despacho General.</t>
  </si>
  <si>
    <t>Producir opinión legal y/o jurídica en todo asunto en que tenga intervención el Municipio,</t>
  </si>
  <si>
    <t>mediante decreto o resolución.</t>
  </si>
  <si>
    <t>Confección de todo instrumento en que la Municipalidad se comprometa en obligaciones de dar, hacer</t>
  </si>
  <si>
    <t>o no hacer y sea requerida su documentación por escrito.</t>
  </si>
  <si>
    <t xml:space="preserve">Proveer y dar trámite a todos los expedientes que tengan ingreso al Municipio, con excepción de </t>
  </si>
  <si>
    <t>los que tratan sobre Habilitación y Obras Privadas.</t>
  </si>
  <si>
    <t>UNIDAD EJECUTORA: Asesoría Letrada.</t>
  </si>
  <si>
    <t>Materiales de Conservación y/o Construcción</t>
  </si>
  <si>
    <t xml:space="preserve">2.1.1.2.08.05        </t>
  </si>
  <si>
    <t>Honorarios por Servicio Técnicos y Profesionales</t>
  </si>
  <si>
    <t>2.1.1.3.07.02</t>
  </si>
  <si>
    <t>Boletín Oficial y Otras Publicaciones Oficiales</t>
  </si>
  <si>
    <t>2.1.1.3.08.03</t>
  </si>
  <si>
    <t>Sentencias y Otros Gastos Judiciales Relacionados</t>
  </si>
  <si>
    <t>2.1.1.3.08.04</t>
  </si>
  <si>
    <t>Mediaciones, Acuerdos Extrajudiciales y Otros Gastos Relacionados</t>
  </si>
  <si>
    <t>2.1.1.3.08.05</t>
  </si>
  <si>
    <t>Indemnizaciones por Daños y Perjuicios</t>
  </si>
  <si>
    <t>Servicio de Resguardo y Archivo Documental</t>
  </si>
  <si>
    <t>1 facturante</t>
  </si>
  <si>
    <t>PROGRAMA: ARCHIVO MUNICIPAL</t>
  </si>
  <si>
    <t xml:space="preserve">OBJETIVO: Administrar y mantener en forma sencilla y eficiente la información del municipio, permitiendo </t>
  </si>
  <si>
    <t>un ágil acceso a la misma a través de técnicas y herramientas organizativas.</t>
  </si>
  <si>
    <t>Acondicionamiento del edificio y renovación del mobiliario, para lograr la preservación de la documentación.</t>
  </si>
  <si>
    <t>Proteger la documentación ante cualquier eventualidad logrando la informatización del archivo.</t>
  </si>
  <si>
    <t>PROGRAMA: JUSTICIA ELECTORAL</t>
  </si>
  <si>
    <t>CONSEJO ASESOR MUNICIPAL</t>
  </si>
  <si>
    <t>PROGRAMA: CONSEJO ASESOR MUNICIPAL</t>
  </si>
  <si>
    <t>5001</t>
  </si>
  <si>
    <t xml:space="preserve">OBJETIVO: Brindar información y asesoramiento a los órganos del gobierno municipal, respecto de temas </t>
  </si>
  <si>
    <t>socio-económicos de la comunidad.</t>
  </si>
  <si>
    <t>Asistir a las audiencias públicas, presentar proyectos o planes de obras, servicios o trabajos, e integrar los</t>
  </si>
  <si>
    <t>organismos que la Carta Orgánica Municipal, u Ordenanzas así lo prevean.</t>
  </si>
  <si>
    <t>UNIDAD EJECUTORA: Consejo Asesor Municipal.</t>
  </si>
  <si>
    <t>Manteriales Conservaciones Varias</t>
  </si>
  <si>
    <t>TRIBUNAL ADMINISTRATIVO DE ADMISIONES Y CONCURSOS</t>
  </si>
  <si>
    <t>PROGRAMA: TRIBUNAL ADMINISTRATIVO DE ADMISIONES Y CONCURSOS</t>
  </si>
  <si>
    <t>4401</t>
  </si>
  <si>
    <t xml:space="preserve">OBJETIVO: Impulsar el desarrollo de las instancias de concursos de oposición y antecedentes, según </t>
  </si>
  <si>
    <t>exigencias de la C.O.M. en su Título Quinto - Tercera Parte y de la Ordenanza N° 5510.</t>
  </si>
  <si>
    <t>UNIDAD EJECUTORA: Tribunal Administrativo de Admisiones y Concursos.</t>
  </si>
  <si>
    <t>Productos de papel, Cartón e Impresoras</t>
  </si>
  <si>
    <t>Útiles e insumos de Oficina y Enseñanza</t>
  </si>
  <si>
    <t>4301</t>
  </si>
  <si>
    <t>OBJETIVO: El control administrativo y técnico, la verificación y fiscalización de todos los servicios públicos que preste la</t>
  </si>
  <si>
    <t>Municipalidad por sí misma o mediante terceros. Velando para que los mismos se lleven a cabo respetando la normativa</t>
  </si>
  <si>
    <t>legal que los regula, las políticas del gobierno municipal sobre la materia y los derechos de los usuarios y prestadores.</t>
  </si>
  <si>
    <t>TRIBUNAL MUNICIPAL DE RECLAMOS Y APELACIONES FISCALES</t>
  </si>
  <si>
    <t>PROGRAMA: TRIBUNAL MUNICIPAL DE RECLAMOS Y APELACIONES FISCALES</t>
  </si>
  <si>
    <t>4201</t>
  </si>
  <si>
    <t xml:space="preserve">OBJETIVO: Entender en todos los recursos que se interpongan en contra de las resoluciones de la Administración </t>
  </si>
  <si>
    <t>Municipal que determinen obligaciones tributarias, impongan sanciones fiscales y/o resuelvan reclamos de repetición</t>
  </si>
  <si>
    <t>o de extinción de exenciones, según disposiciones y facultades de la COM en su Título Tercero - Tercera Parte.</t>
  </si>
  <si>
    <t>UNIDAD EJECUTORA: Tribunal Municipal de Reclamos y Apelaciones Fiscales.</t>
  </si>
  <si>
    <t xml:space="preserve">JEFE DE PROGRAMA: </t>
  </si>
  <si>
    <t xml:space="preserve">2.1.1.2.09.        </t>
  </si>
  <si>
    <t>AUDITOR GENERAL</t>
  </si>
  <si>
    <t>PROGRAMA: AUDITORIA GENERAL</t>
  </si>
  <si>
    <t>4101</t>
  </si>
  <si>
    <t>OBJETIVO: Cumplir con las obligaciones impuestas por el Art. 166 de la C.O.M. y el Art. 9 de la Ordenanza 3983, tales como:</t>
  </si>
  <si>
    <r>
      <t>−</t>
    </r>
    <r>
      <rPr>
        <sz val="10"/>
        <rFont val="Arial Narrow"/>
        <family val="2"/>
      </rPr>
      <t xml:space="preserve">Asumir la defensa de las libertades, derechos y garantías de los ciudadanos ante hechos u omisiones de la Administración </t>
    </r>
  </si>
  <si>
    <t>Pública Municipal.</t>
  </si>
  <si>
    <r>
      <t>−</t>
    </r>
    <r>
      <rPr>
        <sz val="10"/>
        <rFont val="Arial Narrow"/>
        <family val="2"/>
      </rPr>
      <t>Supervisar la eficacia en la prestación de los servicios públicos, los derechos del consumidor y la aplicación de la</t>
    </r>
  </si>
  <si>
    <t>legislación municipal.</t>
  </si>
  <si>
    <r>
      <t>−</t>
    </r>
    <r>
      <rPr>
        <sz val="10"/>
        <rFont val="Arial Narrow"/>
        <family val="2"/>
      </rPr>
      <t xml:space="preserve">Intervenir a solicitud de los vecinos, al solo efecto conciliatorio y a pedido de ambas partes, en todas aquellas controversias </t>
    </r>
  </si>
  <si>
    <t>que se susciten entre ellos.</t>
  </si>
  <si>
    <t>UNIDAD EJECUTORA: Auditor General.</t>
  </si>
  <si>
    <t>Telefonía, Telefax, Internet y similar</t>
  </si>
  <si>
    <t>TRIBUNAL DE CUENTAS</t>
  </si>
  <si>
    <t>PROGRAMA: TRIBUNAL DE CUENTAS</t>
  </si>
  <si>
    <t>4001</t>
  </si>
  <si>
    <t>UNIDAD EJECUTORA: Tribunal de Cuentas.</t>
  </si>
  <si>
    <t>JEFE DE PROGRAMA: Dr. Julio C. OYOLA.</t>
  </si>
  <si>
    <t>Útiles e Insumo de Oficina y Enseñanza</t>
  </si>
  <si>
    <t>CONCEJO DELIBERANTE</t>
  </si>
  <si>
    <t>3001</t>
  </si>
  <si>
    <t>UNIDAD EJECUTORA: Presidencia - Secretaría Habilitada.</t>
  </si>
  <si>
    <t xml:space="preserve">Servicios Públicos Municipales </t>
  </si>
  <si>
    <t>Transferencias a Instituciones de Enseñanza/Académicas, Culturales, Deportivas y Sociales en General</t>
  </si>
  <si>
    <t xml:space="preserve">2.2.1.1.05.     </t>
  </si>
  <si>
    <t>PROGRAMA: PROTOCOLO, COMUNICACIÓN Y PRENSA DEL CONCEJO DELIBERANTE</t>
  </si>
  <si>
    <t>3002</t>
  </si>
  <si>
    <t xml:space="preserve">OBJETIVO: Publicar y difundir todos los eventos legislativos que se generen para lograr la participación e </t>
  </si>
  <si>
    <t>información vecinal.</t>
  </si>
  <si>
    <t xml:space="preserve">Disponer de los elementos necesarios para el ceremonial y protocolo de los actos realizados desde el </t>
  </si>
  <si>
    <t>Concejo Deliberante.</t>
  </si>
  <si>
    <t xml:space="preserve">2.1.1.2.09.    </t>
  </si>
  <si>
    <t>PROGRAMA: EL CONCEJO DELIBERANTE EN LA COMUNIDAD</t>
  </si>
  <si>
    <t xml:space="preserve">OBJETIVO: Brindar mayor participación a las instituciones y vecinos de la ciudad en cada actividad que se </t>
  </si>
  <si>
    <t>desarrolla desde el ámbito legislativo. Llevar adelante diferentes actividades y propuestas que involucren</t>
  </si>
  <si>
    <t>a los mismos con el ámbito legislativo.</t>
  </si>
  <si>
    <t>Acercar el Concejo Deliberante a los Barrios.</t>
  </si>
  <si>
    <t>Facilitar la tarea que jóvenes de nuestra ciudad llevan adelante en el marco de la actividad legislativa juvenil.</t>
  </si>
  <si>
    <t>JUSTICIA ADMINISTRATIVA MUNICIPAL DE FALTAS</t>
  </si>
  <si>
    <t>PROGRAMA: JUSTICIA ADMINISTRATIVA MUNICIPAL DE FALTAS</t>
  </si>
  <si>
    <t>2001</t>
  </si>
  <si>
    <t>UNIDAD EJECUTORA: Justicia Administrativa Municipal de Faltas.</t>
  </si>
  <si>
    <t xml:space="preserve">SUBPROGRAMA:  JUSTICIA ADMINISTRATIVA </t>
  </si>
  <si>
    <t>2001-01</t>
  </si>
  <si>
    <t xml:space="preserve">         MUNICIPAL DE FALTAS</t>
  </si>
  <si>
    <t xml:space="preserve">           </t>
  </si>
  <si>
    <t>Primera Instancia - Primera Nominación</t>
  </si>
  <si>
    <t>COSTO TOTAL DEL SUBPROGRAMA:</t>
  </si>
  <si>
    <t>2001-02</t>
  </si>
  <si>
    <t>Primera Instancia - Segunda Nominación</t>
  </si>
  <si>
    <t>Prendas de Vestir, Uniformes y otros accesorios o artículos de ropería</t>
  </si>
  <si>
    <t>PROGRAMA: CÁMARA DE APELACIONES DE FALTAS</t>
  </si>
  <si>
    <t>2002</t>
  </si>
  <si>
    <t>UNIDAD EJECUTORA: Cámara de Apelaciones de Faltas.</t>
  </si>
  <si>
    <t xml:space="preserve">2.1.1.2.09.01        </t>
  </si>
  <si>
    <t>PROGRAMA: COORDINACIÓN Y ADMINISTRACIÓN DE LA JEFATURA DE GABINETE</t>
  </si>
  <si>
    <t xml:space="preserve">PROGRAMA: COORDINACIÓN Y ADMINISTRACIÓN </t>
  </si>
  <si>
    <t>PROGRAMA: COORDINACIÓN Y ADMINISTRACIÓN</t>
  </si>
  <si>
    <t>DEL CONSEJO MUNICIPAL DE LA SALUD</t>
  </si>
  <si>
    <t>PROGRAMA: COORDINACIÓN Y ADMINISTRACIÓN DE LA UNIVERSIDAD POPULAR</t>
  </si>
  <si>
    <t xml:space="preserve">PROGRAMA: COORDINACIÓN Y ADMINISTRACIÓN DEL CONCEJO DELIBERANTE </t>
  </si>
  <si>
    <t>2.1.1.3.07.05</t>
  </si>
  <si>
    <t>2.1.1.4.01.09</t>
  </si>
  <si>
    <t>Transferencias a Instituciones de Enseñanza/Académicas, Culturales y Deportivas</t>
  </si>
  <si>
    <t>Mantenimiento y Reparaciones de Inmuebles</t>
  </si>
  <si>
    <t>2.2.1.2.02.26</t>
  </si>
  <si>
    <t xml:space="preserve">Gastos Varios Protocolares y de Organización de Eventos </t>
  </si>
  <si>
    <t>Transferencia a Instituciones de Enseñanza/Académicas, Culturales, Deportivas</t>
  </si>
  <si>
    <t xml:space="preserve">Útiles y/o Insumos técnico-profesional Herramientas Menores </t>
  </si>
  <si>
    <t>Herramientas menores</t>
  </si>
  <si>
    <t>2.1.1.2.07.07</t>
  </si>
  <si>
    <t>Embargos y otros gastos relacionados</t>
  </si>
  <si>
    <t>2.1.1.3.08.06</t>
  </si>
  <si>
    <t>A incorporar un secretario</t>
  </si>
  <si>
    <t>Ulla Silvana</t>
  </si>
  <si>
    <t>Fletes/Trasporte y Almacenamiento</t>
  </si>
  <si>
    <t>Costos de Creación, Impresión y Colocación de Material y Cartelería de Difusión</t>
  </si>
  <si>
    <t>1 factur.</t>
  </si>
  <si>
    <t>Otras Transferencias al Sector Público u otros subsidios a entregar</t>
  </si>
  <si>
    <t>1104</t>
  </si>
  <si>
    <t>PROGRAMA: RELACIONES INSTITUCIONALES Y CAPACITACIÓN</t>
  </si>
  <si>
    <t>PROGRAMA: COORDINACIÓN DE OBSERVATORIOS MUNICIPALES</t>
  </si>
  <si>
    <t>eventos  municercas</t>
  </si>
  <si>
    <t>Productos y/o Materiales Específicos para tratamiento de Residuos y otras políticas Ambientales</t>
  </si>
  <si>
    <t>Piden Contemplar un contrato más</t>
  </si>
  <si>
    <t>p/fondo fijo</t>
  </si>
  <si>
    <t>Cartelería, Señaléctica y Otros Impresos</t>
  </si>
  <si>
    <t>2.1.1.2.03.03</t>
  </si>
  <si>
    <t>2.1.1.2.08.06</t>
  </si>
  <si>
    <t>Estructuras Metálicas Acabadas</t>
  </si>
  <si>
    <t xml:space="preserve"> alquiler vs. Festival otra parte está en AMIP</t>
  </si>
  <si>
    <t>porASISTENCIA VÍCTIMAS DE VIOLENCIA Y OTROS</t>
  </si>
  <si>
    <t>2 veterinar.</t>
  </si>
  <si>
    <t xml:space="preserve"> Pintura Vial</t>
  </si>
  <si>
    <t>Muebles y Equipo Educacional, Cultural y Recreativo</t>
  </si>
  <si>
    <t xml:space="preserve">Útiles y/o Insumos técnico-profesional </t>
  </si>
  <si>
    <t xml:space="preserve">2 profesionales </t>
  </si>
  <si>
    <t>2 fact. Actuales</t>
  </si>
  <si>
    <t xml:space="preserve">OBJETIVO: Coordinar la implementación del Plan Trienal Participativo y otras instanias que favorezcan la </t>
  </si>
  <si>
    <t>Promover la participación social, cultural y económica de Villa María y los villamarienses en los diferentes puntos del país.</t>
  </si>
  <si>
    <t xml:space="preserve">participación ciudadana en el diseño de políticas públicas a través del desarrollo de proyectos, programas y/o planes. </t>
  </si>
  <si>
    <t>OBJETIVO: Acompañar la implementación de proyectos locales iniciados por personas y/o instituciones</t>
  </si>
  <si>
    <t>de la ciudad, que tienen por objetivo mejorar, transformar y/o motivar la calidad de vida de los ciudadanos</t>
  </si>
  <si>
    <t>villamarienses.</t>
  </si>
  <si>
    <t xml:space="preserve">OBJETIVO: Coordinar las reuniones de gabinete. Ser el nexo entre el intendente y las demás secretarías, </t>
  </si>
  <si>
    <t>funcionarios y/o empleados del municipio.</t>
  </si>
  <si>
    <t>Planificar, desarrollar e instrumentar acciones comunicacionales para vincular al estado Municipal con los</t>
  </si>
  <si>
    <t>ciudadanos y sus Instituciones de un modo eficaz, ágil y directo. Entendiéndose además la colaboración</t>
  </si>
  <si>
    <t>de la Jefatra de Gabinete para la resolución de problemas sociales con los distintos actores, agrupaciones</t>
  </si>
  <si>
    <t>y/o subsidios siempre y cuando correspondan y competan a mencionada Secretaría.</t>
  </si>
  <si>
    <t>OBJETIVO: Implementación de los observatorios creados por las Ordenanzas 6648-6649-6650, que asistan y colaboren con</t>
  </si>
  <si>
    <t>Desarrollo del proceso de investigación y trabajo interinsitucional en función de la agenda planteada en 2014.</t>
  </si>
  <si>
    <t>Coordinación de las acciones propuestas por las diferentes Unidades Coordinadoras de los Observatorios.</t>
  </si>
  <si>
    <t>Diseñar las estrategias de trabajo con las diferentes Mesas Consultivas.</t>
  </si>
  <si>
    <t>vial, ambiente, violencia, y otras problemática de carácter social en general, dentro de la órbita de sus competencias.</t>
  </si>
  <si>
    <t>el diseño de políticas públicas relativas a temas de interés comunitario como el desarrollo económico y social, la accidentología</t>
  </si>
  <si>
    <t>1.</t>
  </si>
  <si>
    <t>RECURSOS</t>
  </si>
  <si>
    <t>INGRESOS CORRIENTES</t>
  </si>
  <si>
    <t>INGRESOS DE JURISDICCION MUNICIPAL</t>
  </si>
  <si>
    <t>INGRESOS TRIBUTARIOS</t>
  </si>
  <si>
    <t>01.</t>
  </si>
  <si>
    <t>Contribución sobre los Inmuebles</t>
  </si>
  <si>
    <t>Contribución sobre los Inmuebles del Ejercicio</t>
  </si>
  <si>
    <t>02.</t>
  </si>
  <si>
    <t>Contribución sobre los Inmuebles de Ejercicios Anteriores</t>
  </si>
  <si>
    <t>Impuesto sobre los Automotores, Acoplados y Similares</t>
  </si>
  <si>
    <t>Impuesto sobre los Automotores, Acoplados y Similares del Ejercicio</t>
  </si>
  <si>
    <t>Impuesto sobre los Automotores, Acoplados y Similares de Ejercicios Anteriores</t>
  </si>
  <si>
    <t>03.</t>
  </si>
  <si>
    <t>Contribución sobre la Actividad Comercial, Industrial y de Servicios</t>
  </si>
  <si>
    <t>Contribución sobre la Actividad Comercial, Industrial y de Servicios del Ejercicio</t>
  </si>
  <si>
    <t>Contribución sobre la Actividad Comercial, Industrial y de Servicios de Ejercicios Anteriores</t>
  </si>
  <si>
    <t>04.</t>
  </si>
  <si>
    <t>Tasa por Habilitación y Control de Antenas</t>
  </si>
  <si>
    <t>05.</t>
  </si>
  <si>
    <t>Contribución sobre Diversiones y Espectáculos Públicos</t>
  </si>
  <si>
    <t>07.</t>
  </si>
  <si>
    <t>Contribución Espacio Dominio Público</t>
  </si>
  <si>
    <t>08.</t>
  </si>
  <si>
    <t>Contribución sobre Ferias y Remates de Hacienda</t>
  </si>
  <si>
    <t>09.</t>
  </si>
  <si>
    <t>Contribución sobre los Cementerios</t>
  </si>
  <si>
    <t>10.</t>
  </si>
  <si>
    <t>Contribución sobre la Publicidad y Propaganda</t>
  </si>
  <si>
    <t>12.</t>
  </si>
  <si>
    <t>Contribución sobre Inspección Eléctrica y Mecánica y Suministro de Energía Eléctrica</t>
  </si>
  <si>
    <t>Por Consumo de Energía Eléctrica</t>
  </si>
  <si>
    <t>Por Inspección Eléctrica y Mecánica</t>
  </si>
  <si>
    <t>15.</t>
  </si>
  <si>
    <t>Inspección Sanitaria, Veterinaria, Bromatológica</t>
  </si>
  <si>
    <t>Otros Tributos</t>
  </si>
  <si>
    <t>Percepción Coop. 15 de Mayo por T.S.P.</t>
  </si>
  <si>
    <t>Contribución para el Financiamiento del Servicios de Salud Municipal</t>
  </si>
  <si>
    <t>06.</t>
  </si>
  <si>
    <t>Fondo p/Financiamiento de Obras Pcas. y Servicios Pcos. - FFOPSP</t>
  </si>
  <si>
    <t>Otros Tributos o Contribuciones</t>
  </si>
  <si>
    <t>2.</t>
  </si>
  <si>
    <t>PARTICIPACIÓN EN IMPUESTOS NACIONALES/PROVINCIALES</t>
  </si>
  <si>
    <t>Coparticipación Impositiva</t>
  </si>
  <si>
    <t>Fondo Federal Solidario</t>
  </si>
  <si>
    <t>FO.FIN.DES.</t>
  </si>
  <si>
    <t>OTROS INGRESOS NO TRIBUTARIOS</t>
  </si>
  <si>
    <t xml:space="preserve">Derechos </t>
  </si>
  <si>
    <t>Contribución sobre la Ocupación o Utilización de Espacios Públicos o de Uso Público</t>
  </si>
  <si>
    <t>11.</t>
  </si>
  <si>
    <t>Contribución sobre Obras Privadas</t>
  </si>
  <si>
    <t>13.</t>
  </si>
  <si>
    <t>Derechos de Oficina</t>
  </si>
  <si>
    <t>14.</t>
  </si>
  <si>
    <t>Tasa Servicio Registro Civil</t>
  </si>
  <si>
    <t>Multas</t>
  </si>
  <si>
    <t>Multas de Tránsito</t>
  </si>
  <si>
    <t>Multas por Estacionamiento Medido</t>
  </si>
  <si>
    <t>Multas Varias por Servicios Bibliotecarios -  Biblioteca Municipal M. M.</t>
  </si>
  <si>
    <t>Multas Varias por Servicios Licitados y Concesionados</t>
  </si>
  <si>
    <t>Otras Multas</t>
  </si>
  <si>
    <t>Intereses y Recargos</t>
  </si>
  <si>
    <t>Intereses por Depósitos</t>
  </si>
  <si>
    <t>Intereses por Préstamos</t>
  </si>
  <si>
    <t>Intereses por Pago Fuera de Término (surge de multas-tributarias a la OGI)</t>
  </si>
  <si>
    <t xml:space="preserve">Otros Intereses Ganados </t>
  </si>
  <si>
    <t>Rentas del Patrimonio Municipal</t>
  </si>
  <si>
    <t>Cementerio Ampliación y Concesión</t>
  </si>
  <si>
    <t>Venta de Pliegos y otros</t>
  </si>
  <si>
    <t>Alquiler de Inmuebles</t>
  </si>
  <si>
    <t xml:space="preserve">Otras Rentas del Patrimonio Municipal </t>
  </si>
  <si>
    <t>Contribución por Mejoras</t>
  </si>
  <si>
    <t>Pavimento Construcción/Reconstrucción</t>
  </si>
  <si>
    <t>Pavimento Ejercicios Anteriores</t>
  </si>
  <si>
    <t>Gas por Redes</t>
  </si>
  <si>
    <t>Gas por Redes Ejercicios Anteriores</t>
  </si>
  <si>
    <t xml:space="preserve">Cordón Cuneta </t>
  </si>
  <si>
    <t>Cordón Cuneta Ejercicios Anteriores</t>
  </si>
  <si>
    <t>Otras Contribuciones por Mejoras</t>
  </si>
  <si>
    <t>Recuperos Varios</t>
  </si>
  <si>
    <t>Reintegros de Viáticos</t>
  </si>
  <si>
    <t>Reintegros O.S., A.R.T. y  similares</t>
  </si>
  <si>
    <t>Otros Reintegros Varios</t>
  </si>
  <si>
    <t>Otros Ingresos</t>
  </si>
  <si>
    <t>Eventuales e Imprevistos</t>
  </si>
  <si>
    <t>Aportes Fondo Permanente para Obras de Infraestructura - Fo.P.O.I</t>
  </si>
  <si>
    <t>Fondo para Reinversión Comunitaria</t>
  </si>
  <si>
    <t>Ingresos por Regímenes de Ordenanzas Varias</t>
  </si>
  <si>
    <t>Otros Ingresos no Tributarios</t>
  </si>
  <si>
    <t>INGRESOS DE OTRAS JURISDICCIONES</t>
  </si>
  <si>
    <t>TRANSFERENCIAS CORRIENTES</t>
  </si>
  <si>
    <t>Transferencias desde el Sector Público Nacional, Provincial y Municipal</t>
  </si>
  <si>
    <t>PAMI</t>
  </si>
  <si>
    <t>Prog. Permanente Atención al Niño y la Flia.</t>
  </si>
  <si>
    <t>Ley 7077 Atención Permanente al Anciano</t>
  </si>
  <si>
    <t>Recursos Juegos de Azar</t>
  </si>
  <si>
    <t>Subsidios p/Organismos Diversos de Asistencia Social</t>
  </si>
  <si>
    <t>FO.VI.COR.</t>
  </si>
  <si>
    <t xml:space="preserve">Transferencias de la Provincia </t>
  </si>
  <si>
    <t>Transferencias de la Nación</t>
  </si>
  <si>
    <t>Trasferencias desde el Sector Privado</t>
  </si>
  <si>
    <t>Transferencias del Exterior</t>
  </si>
  <si>
    <t>INGRESOS DE CAPITAL</t>
  </si>
  <si>
    <t>INGRESOS PROPIOS DE CAPITAL</t>
  </si>
  <si>
    <t>VENTA DE BIENES PATRIMONIABLES</t>
  </si>
  <si>
    <t>Venta de Bienes Muebles Varios</t>
  </si>
  <si>
    <t>Venta de Bienes Inmuebles de Propiedad Municipal</t>
  </si>
  <si>
    <t xml:space="preserve">Venta de Tierras </t>
  </si>
  <si>
    <t xml:space="preserve">TRANSFERENCIAS </t>
  </si>
  <si>
    <t>TRANSFERENCIAS DE CAPITAL</t>
  </si>
  <si>
    <t>Transferencias desde la Provincia</t>
  </si>
  <si>
    <t>Transferencias desde la Nación</t>
  </si>
  <si>
    <t xml:space="preserve">Otras Transferencias desde el Sector Público </t>
  </si>
  <si>
    <t>3.</t>
  </si>
  <si>
    <t>FUENTES FINANCIERAS</t>
  </si>
  <si>
    <t>USO DEL CRÉDITO</t>
  </si>
  <si>
    <t>CRÉDITOS CON INSTITUCIONES BANCARIAS Y FINANCIERAS</t>
  </si>
  <si>
    <t>Créditos con Instituciones Bancarias y Financieras</t>
  </si>
  <si>
    <t>CRÉDITOS CON ORGANISMOS PÚBLICOS NACIONALES, PCIALES., MUNICIPALES</t>
  </si>
  <si>
    <t>Créditos con Organismos Nacionales</t>
  </si>
  <si>
    <t>Créditos con Organismos Provinciales</t>
  </si>
  <si>
    <t>Créditos con otros Organimos Pcos.</t>
  </si>
  <si>
    <t>CRÉDITOS CON ORGANISMOS INTERNACIONALES</t>
  </si>
  <si>
    <t>Créditos con Organismos Internacionales</t>
  </si>
  <si>
    <t>4.</t>
  </si>
  <si>
    <t>CRÉDITOS CON EL SECTOR PRIVADO</t>
  </si>
  <si>
    <t>Créditos con el Sector Privado</t>
  </si>
  <si>
    <t>5.</t>
  </si>
  <si>
    <t>COLOCACIÓN DE DEUDA / OTRO USO DEL CRÉDITO</t>
  </si>
  <si>
    <t>Colocación de Deuda</t>
  </si>
  <si>
    <t>Otro Uso del Crédito</t>
  </si>
  <si>
    <t xml:space="preserve">RECUPERO DE INVERSIONES Y PRÉSTAMOS </t>
  </si>
  <si>
    <t>DEL SECTOR PÚBLICO</t>
  </si>
  <si>
    <t>Recupero de Asistencia a Municipios y Entes Comunales</t>
  </si>
  <si>
    <t>Otros Recuperos de Préstamos o Aportes Econ. Reintegrables</t>
  </si>
  <si>
    <t>Recupero de Títulos y Valores del Sector Público</t>
  </si>
  <si>
    <t>DEL SECTOR PRIVADO</t>
  </si>
  <si>
    <t>Recupero de Préstamos o Asistencias Varias</t>
  </si>
  <si>
    <t>Recupero de Títulos y Valores del Sector Privado</t>
  </si>
  <si>
    <t>PLAN HABITACIONAL B° SAN MARTÍN (400 viviendas)</t>
  </si>
  <si>
    <t>Recepcionar, analizar, asesorar y acompañar el desarrollo de proyectos de intervención ciudadana.</t>
  </si>
  <si>
    <t>Mantenimiento y Conservación Calles de Tierra y Caminos Rurales</t>
  </si>
  <si>
    <t>Ingresos por Convenios Específicos- Ej. 4% que pago Villanueva</t>
  </si>
  <si>
    <t>Lo agregamos o no?</t>
  </si>
  <si>
    <t>Programa Habitacional de Viviendas-Prog. Techo Digno y Obras Complementarias</t>
  </si>
  <si>
    <t>16.</t>
  </si>
  <si>
    <t>17.</t>
  </si>
  <si>
    <t>1308</t>
  </si>
  <si>
    <t>Proyecto Área Ferro-Urbanística</t>
  </si>
  <si>
    <t xml:space="preserve">Programa PROMEBA </t>
  </si>
  <si>
    <t>FECHA DE INICIO: 01/01/2016.</t>
  </si>
  <si>
    <t xml:space="preserve">Planificar, dirigir e instrumentar los programas de medios, difundiendo las acciones del gobierno y de cada una de las </t>
  </si>
  <si>
    <t xml:space="preserve">PROGRAMA: COORDINACIÓN Y ADMINISTRACIÓN DEL DEPARTAMENTO </t>
  </si>
  <si>
    <t>JEFE DE PROGRAMA:</t>
  </si>
  <si>
    <t>2.2.1.2.02.28</t>
  </si>
  <si>
    <t>FECHA INICIO: 01/01/2016.</t>
  </si>
  <si>
    <t>Otras Participaciones en Impuestos</t>
  </si>
  <si>
    <t>Reintegros por Convenio Sistema GPRS</t>
  </si>
  <si>
    <t>PROGRAMA: PLANIFICACIÓN Y COORDINACIÓN DE PROYECTOS Y OBRAS PÚBLICAS</t>
  </si>
  <si>
    <t>Asesor, Mussa - Mantenemos?</t>
  </si>
  <si>
    <t>2.1.1.2.08.07</t>
  </si>
  <si>
    <t>baderas y cortinas</t>
  </si>
  <si>
    <t>prev. 1 facturante + otros</t>
  </si>
  <si>
    <t>increm. 15% presup ejec. 2015</t>
  </si>
  <si>
    <t>2.1.1.3.03.08</t>
  </si>
  <si>
    <t>Mantenimiento y Reparaciones Sistemas de Seguridad, Monitoreo y Vigilancia, y Otros Similares</t>
  </si>
  <si>
    <t>es el 1% de lo presup. Recaudación coparticip. 2016</t>
  </si>
  <si>
    <t>2 ACUERDOS VIGENTES Y UNO PREVISIONADO POR 6 MESES</t>
  </si>
  <si>
    <t xml:space="preserve">Pmos. que se están amortizando, contemplamos nuevo p/2016? </t>
  </si>
  <si>
    <t>UNIDAD EJECUTORA: Junta Electoral.</t>
  </si>
  <si>
    <t>JUSTICIA ELECTORAL</t>
  </si>
  <si>
    <t>PARA EL FUNCIONAMIENTO MUNICIPAL</t>
  </si>
  <si>
    <t>JEFE DE SUBPROGRAMA: Dr. Miguel Salvador GAITÁN.</t>
  </si>
  <si>
    <t>JEFE DE SUBPROGRAMA: Dr. Héctor Hugo PASCHETTO.</t>
  </si>
  <si>
    <t>JEFE DE PROGRAMA: Dr. Héctor Hugo PASCHETTO - Dr. Miguel Salvador GAITÁN.</t>
  </si>
  <si>
    <t>OBJETIVO: Cumplir con las obligaciones impuestas por el Art. 141 de la C.O.M. :</t>
  </si>
  <si>
    <t>Entre ellas el trámite de las Causas que se generan con motivo de infracciones a las Ordenanzas vigentes.</t>
  </si>
  <si>
    <t xml:space="preserve">PROGRAMA: ARTE Y CULTURA </t>
  </si>
  <si>
    <t>10 fact. + otros</t>
  </si>
  <si>
    <t>PROGRAMA: COORDINACIÓN DE POLÍTICAS SOBRE EDUCACIÓN</t>
  </si>
  <si>
    <t>PROGRAMA: ENTE DE CONTROL DE SERVICIOS MUNICIPALES</t>
  </si>
  <si>
    <t>ENTE DE CONTROL DE SERVICIOS MUNICIPALES</t>
  </si>
  <si>
    <t>3 factur. PROF + otros honor. por dibujos tecnicos, u otros</t>
  </si>
  <si>
    <t>las urgencias y emergencias sucedidas tanto en el ámbito domiciliario como en la vía pública. Sistemas SAMU 107 Y E-100.</t>
  </si>
  <si>
    <t xml:space="preserve"> 1 Fact</t>
  </si>
  <si>
    <t>Incluye Obleas de Revisión Vehicular - CAMPAÑAS Y TALLERES ESCOLARES, EDUC. VIAL</t>
  </si>
  <si>
    <t>FOTOCOP. SECRETARÍA</t>
  </si>
  <si>
    <t>3 factur</t>
  </si>
  <si>
    <t>1 Factur.</t>
  </si>
  <si>
    <t xml:space="preserve">Galpón de Tránsito </t>
  </si>
  <si>
    <t>Comis. Ferreyra + Comisario Martinez</t>
  </si>
  <si>
    <t>Seguridad privada de todas las areas para licitar en 2015</t>
  </si>
  <si>
    <t>24 FACTURANTES + VIAL PARKING- FEDER. MERCAN-BIT por GPRS + OTROS</t>
  </si>
  <si>
    <t>Adicion. Espectac. Pcos</t>
  </si>
  <si>
    <t>3 facturantes actuales + 2 previsorio</t>
  </si>
  <si>
    <t>1 facturante actual y otros vs. + 1 FAC. PROVIS.</t>
  </si>
  <si>
    <t>según ejec. 2015 + 20%</t>
  </si>
  <si>
    <t>prev. 1 facturantes</t>
  </si>
  <si>
    <t>presup 2015 hoy</t>
  </si>
  <si>
    <t>Iluminación/Alumbrado Público</t>
  </si>
  <si>
    <t>Iluminación/Alumbrado Público Ejercicios Anteriores</t>
  </si>
  <si>
    <t>PROGRAMA: JUVENTUD</t>
  </si>
  <si>
    <t>JEFE DE PROGRAMA: Ing. Jorge SORIA.</t>
  </si>
  <si>
    <t xml:space="preserve">OBJETIVO: Organizar y dirigir los comicios; controlar el cumplimiento de las disposiciones legales vinculadas con la  </t>
  </si>
  <si>
    <t>legalidad de los mismos.</t>
  </si>
  <si>
    <t>UNIDAD EJECUTORA: Ente de Control de Servicios Municipales.</t>
  </si>
  <si>
    <t>JEFE DE PROGRAMA: A Designar.</t>
  </si>
  <si>
    <t>32000*1,1*6+ 35200*1,1*6</t>
  </si>
  <si>
    <t>$435.322 * 9</t>
  </si>
  <si>
    <t>modificado a pedido</t>
  </si>
  <si>
    <t>2015 + 30% presupuestado orig.</t>
  </si>
  <si>
    <t>Obra Cloaca Máxima y Planta Depuradora</t>
  </si>
  <si>
    <t>2.2.1.2.02.15</t>
  </si>
  <si>
    <t>Puentes, Pasos, Cruces de Caminos, Nexos y obras similares</t>
  </si>
  <si>
    <t>Obra Lagunas de Retardo y Sist. Complementarios de Desagues</t>
  </si>
  <si>
    <t>JEFE DE PROGRAMA: Sr. Intendente Ab. Martín GILL.</t>
  </si>
  <si>
    <t>JEFE DE PROGRAMA: Sra. Alicia Peressutti.</t>
  </si>
  <si>
    <t>a la comunidad:</t>
  </si>
  <si>
    <t>1809</t>
  </si>
  <si>
    <t>públicas y privadas de la ciudad.</t>
  </si>
  <si>
    <t xml:space="preserve">Los Consejos ejercen sus funciones en diferentes barrios; dicha elección se realiza estratégicamente para que los niños </t>
  </si>
  <si>
    <t>soluciones y/o acciones.</t>
  </si>
  <si>
    <t xml:space="preserve">con el Intendente de la ciudad. En este espacio debaten proyectos, establecen prioridades y programan distintas acciones, </t>
  </si>
  <si>
    <t xml:space="preserve">que se trasladan a las sesiones de los Consejos. </t>
  </si>
  <si>
    <t>El Gabinete es presidido por un Intendente y un Vice Intendente de los Niños.</t>
  </si>
  <si>
    <t>Elegidos por primera vez en el año 2012, se lleva a cabo por 4º año consecutivo esta iniciativa.</t>
  </si>
  <si>
    <t>que serán ejecutadas desde las diferentes áreas del municipio.</t>
  </si>
  <si>
    <t xml:space="preserve">OBJETIVO: Crear un espacio de participación ciudadana que está destinado a lumnos de 4º, 5º y 6º grado de escuelas </t>
  </si>
  <si>
    <t>puedan asistir al centro más próximo a su domicilio, favoreciendo así su participación.</t>
  </si>
  <si>
    <t xml:space="preserve">Cada Consejo está integrado por niños de 9 a 12 años pertenecientes a escuelas de gestión pública y privada </t>
  </si>
  <si>
    <t>sumando un total de 20 niños por cada escuela.</t>
  </si>
  <si>
    <t xml:space="preserve">Asisten dos sábados al mes para debatir sobre los temas de interés de su barrio, escuela y ciudad, planteando posibles </t>
  </si>
  <si>
    <t xml:space="preserve">Villa María es la primera ciudad de Latinoamérica en promover esta iniciativa social y en haberla institucionalizado. </t>
  </si>
  <si>
    <t xml:space="preserve">Se asignará $1.200.000,00 para llevar adelante los diferentes proyectos o acciones surgidas del espacio, </t>
  </si>
  <si>
    <t>A través de este espacio de participación se garantiza el cumplimiento de los derechos de los niños y niñas:</t>
  </si>
  <si>
    <t>A SER ESCUCHADOS, A LA LIBERTAD DE EXPRESIÓN y a LA PARTICIPACIÓN EN LA VIDA CIUDADANA.</t>
  </si>
  <si>
    <t>cultura democrática generando una ciudadanía más participativa.</t>
  </si>
  <si>
    <r>
      <t xml:space="preserve">En primera instancia se conforman cinco </t>
    </r>
    <r>
      <rPr>
        <b/>
        <sz val="10.5"/>
        <rFont val="Arial Narrow"/>
        <family val="2"/>
      </rPr>
      <t>Consejos de Niños</t>
    </r>
    <r>
      <rPr>
        <sz val="10.5"/>
        <rFont val="Arial Narrow"/>
        <family val="2"/>
      </rPr>
      <t xml:space="preserve"> que buscan la construcción y fortalecimiento de la </t>
    </r>
  </si>
  <si>
    <t>PROGRAMA: AHORA LOS CHICOS.</t>
  </si>
  <si>
    <t>GABINETE DE LOS NIÑOS</t>
  </si>
  <si>
    <t>UNIDAD EJECUTORA: Universidad Popular - Dirección de Educación.</t>
  </si>
  <si>
    <r>
      <rPr>
        <b/>
        <sz val="10.5"/>
        <rFont val="Arial Narrow"/>
        <family val="2"/>
      </rPr>
      <t>El Gabinete de los Niños</t>
    </r>
    <r>
      <rPr>
        <sz val="10.5"/>
        <rFont val="Arial Narrow"/>
        <family val="2"/>
      </rPr>
      <t xml:space="preserve"> está conformado por representantes de los cinco Consejos, quienes se reúnen una vez al mes</t>
    </r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</si>
</sst>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#,##0.00"/>
    <numFmt numFmtId="174" formatCode="_ [$$-2C0A]\ * #,##0.00_ ;_ [$$-2C0A]\ * \-#,##0.00_ ;_ [$$-2C0A]\ * &quot;-&quot;??_ ;_ @_ "/>
    <numFmt numFmtId="175" formatCode="[$$-2C0A]\ #,##0.00"/>
    <numFmt numFmtId="176" formatCode="[$$-2C0A]\ #,##0.00;[$$-2C0A]\ \-#,##0.00"/>
    <numFmt numFmtId="177" formatCode="[$$-2C0A]\ #,##0"/>
    <numFmt numFmtId="178" formatCode="[$$-2C0A]\ #,##0.0"/>
    <numFmt numFmtId="179" formatCode="0.0%"/>
    <numFmt numFmtId="180" formatCode="#,##0.00\ _€"/>
    <numFmt numFmtId="181" formatCode="[$$-2C0A]\ #,##0.000"/>
    <numFmt numFmtId="182" formatCode="#,##0.0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10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u val="single"/>
      <sz val="10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 Narrow"/>
      <family val="2"/>
    </font>
    <font>
      <b/>
      <i/>
      <u val="single"/>
      <sz val="9"/>
      <name val="Arial Narrow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b/>
      <sz val="9"/>
      <color indexed="10"/>
      <name val="Arial Narrow"/>
      <family val="2"/>
    </font>
    <font>
      <i/>
      <sz val="10"/>
      <name val="Arial Narrow"/>
      <family val="2"/>
    </font>
    <font>
      <sz val="9"/>
      <name val="Courier New"/>
      <family val="3"/>
    </font>
    <font>
      <b/>
      <i/>
      <sz val="9"/>
      <color indexed="18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i/>
      <sz val="8"/>
      <color indexed="18"/>
      <name val="Courier New"/>
      <family val="3"/>
    </font>
    <font>
      <sz val="8"/>
      <name val="Copperplate Gothic Light"/>
      <family val="2"/>
    </font>
    <font>
      <b/>
      <i/>
      <sz val="8"/>
      <color indexed="18"/>
      <name val="Copperplate Gothic Light"/>
      <family val="2"/>
    </font>
    <font>
      <u val="single"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u val="single"/>
      <sz val="8"/>
      <name val="Copperplate Gothic Bold"/>
      <family val="2"/>
    </font>
    <font>
      <b/>
      <sz val="8"/>
      <name val="Copperplate Gothic Bold"/>
      <family val="2"/>
    </font>
    <font>
      <sz val="7"/>
      <name val="Copperplate Gothic Light"/>
      <family val="2"/>
    </font>
    <font>
      <b/>
      <sz val="7"/>
      <name val="Copperplate Gothic Light"/>
      <family val="2"/>
    </font>
    <font>
      <b/>
      <sz val="8"/>
      <name val="Copperplate Gothic Light"/>
      <family val="2"/>
    </font>
    <font>
      <sz val="12"/>
      <color indexed="10"/>
      <name val="Times New Roman"/>
      <family val="1"/>
    </font>
    <font>
      <b/>
      <sz val="10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u val="single"/>
      <sz val="9"/>
      <name val="Arial Narrow"/>
      <family val="2"/>
    </font>
    <font>
      <b/>
      <u val="single"/>
      <sz val="8"/>
      <name val="Arial Narrow"/>
      <family val="2"/>
    </font>
    <font>
      <b/>
      <i/>
      <u val="single"/>
      <sz val="8"/>
      <name val="Arial Narrow"/>
      <family val="2"/>
    </font>
    <font>
      <b/>
      <sz val="8"/>
      <name val="Arial Narrow"/>
      <family val="2"/>
    </font>
    <font>
      <b/>
      <i/>
      <sz val="8"/>
      <color indexed="18"/>
      <name val="Arial Narrow"/>
      <family val="2"/>
    </font>
    <font>
      <u val="singleAccounting"/>
      <sz val="10"/>
      <name val="Arial Narrow"/>
      <family val="2"/>
    </font>
    <font>
      <b/>
      <i/>
      <sz val="10"/>
      <color indexed="18"/>
      <name val="Arial Narrow"/>
      <family val="2"/>
    </font>
    <font>
      <b/>
      <i/>
      <sz val="9"/>
      <color indexed="18"/>
      <name val="Arial Narrow"/>
      <family val="2"/>
    </font>
    <font>
      <b/>
      <sz val="8"/>
      <color indexed="9"/>
      <name val="Arial Narrow"/>
      <family val="2"/>
    </font>
    <font>
      <sz val="14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7"/>
      <color theme="1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C006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7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86" fillId="0" borderId="8" applyNumberFormat="0" applyFill="0" applyAlignment="0" applyProtection="0"/>
    <xf numFmtId="0" fontId="96" fillId="0" borderId="9" applyNumberFormat="0" applyFill="0" applyAlignment="0" applyProtection="0"/>
  </cellStyleXfs>
  <cellXfs count="99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5" fontId="1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horizontal="right" vertical="center"/>
    </xf>
    <xf numFmtId="175" fontId="2" fillId="0" borderId="0" xfId="0" applyNumberFormat="1" applyFont="1" applyFill="1" applyAlignment="1">
      <alignment vertical="center"/>
    </xf>
    <xf numFmtId="175" fontId="3" fillId="0" borderId="0" xfId="0" applyNumberFormat="1" applyFont="1" applyFill="1" applyAlignment="1">
      <alignment vertical="center"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Alignment="1">
      <alignment horizontal="right" vertical="center"/>
    </xf>
    <xf numFmtId="175" fontId="2" fillId="0" borderId="0" xfId="0" applyNumberFormat="1" applyFont="1" applyAlignment="1">
      <alignment vertical="center"/>
    </xf>
    <xf numFmtId="175" fontId="1" fillId="0" borderId="0" xfId="0" applyNumberFormat="1" applyFont="1" applyBorder="1" applyAlignment="1">
      <alignment vertical="center"/>
    </xf>
    <xf numFmtId="175" fontId="5" fillId="0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Border="1" applyAlignment="1">
      <alignment vertical="center"/>
    </xf>
    <xf numFmtId="175" fontId="5" fillId="0" borderId="0" xfId="0" applyNumberFormat="1" applyFont="1" applyFill="1" applyBorder="1" applyAlignment="1">
      <alignment vertical="center"/>
    </xf>
    <xf numFmtId="175" fontId="6" fillId="0" borderId="0" xfId="0" applyNumberFormat="1" applyFont="1" applyBorder="1" applyAlignment="1">
      <alignment vertical="center"/>
    </xf>
    <xf numFmtId="175" fontId="5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vertical="center"/>
    </xf>
    <xf numFmtId="175" fontId="5" fillId="0" borderId="0" xfId="0" applyNumberFormat="1" applyFont="1" applyAlignment="1">
      <alignment vertical="center"/>
    </xf>
    <xf numFmtId="175" fontId="5" fillId="0" borderId="0" xfId="0" applyNumberFormat="1" applyFont="1" applyAlignment="1">
      <alignment/>
    </xf>
    <xf numFmtId="175" fontId="5" fillId="0" borderId="0" xfId="0" applyNumberFormat="1" applyFont="1" applyAlignment="1">
      <alignment horizontal="right"/>
    </xf>
    <xf numFmtId="175" fontId="6" fillId="32" borderId="1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Alignment="1">
      <alignment/>
    </xf>
    <xf numFmtId="175" fontId="6" fillId="33" borderId="10" xfId="0" applyNumberFormat="1" applyFont="1" applyFill="1" applyBorder="1" applyAlignment="1">
      <alignment vertical="center"/>
    </xf>
    <xf numFmtId="175" fontId="6" fillId="4" borderId="10" xfId="0" applyNumberFormat="1" applyFont="1" applyFill="1" applyBorder="1" applyAlignment="1">
      <alignment vertical="center"/>
    </xf>
    <xf numFmtId="175" fontId="6" fillId="34" borderId="10" xfId="0" applyNumberFormat="1" applyFont="1" applyFill="1" applyBorder="1" applyAlignment="1">
      <alignment vertical="center"/>
    </xf>
    <xf numFmtId="175" fontId="6" fillId="0" borderId="0" xfId="0" applyNumberFormat="1" applyFont="1" applyFill="1" applyAlignment="1">
      <alignment/>
    </xf>
    <xf numFmtId="175" fontId="6" fillId="3" borderId="10" xfId="0" applyNumberFormat="1" applyFont="1" applyFill="1" applyBorder="1" applyAlignment="1">
      <alignment vertic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5" fontId="2" fillId="0" borderId="15" xfId="0" applyNumberFormat="1" applyFont="1" applyFill="1" applyBorder="1" applyAlignment="1">
      <alignment horizontal="right" vertical="center"/>
    </xf>
    <xf numFmtId="175" fontId="2" fillId="0" borderId="1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5" fontId="6" fillId="0" borderId="13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75" fontId="6" fillId="0" borderId="18" xfId="0" applyNumberFormat="1" applyFont="1" applyFill="1" applyBorder="1" applyAlignment="1">
      <alignment vertical="center"/>
    </xf>
    <xf numFmtId="175" fontId="6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9" fontId="2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/>
    </xf>
    <xf numFmtId="175" fontId="5" fillId="0" borderId="12" xfId="0" applyNumberFormat="1" applyFont="1" applyFill="1" applyBorder="1" applyAlignment="1">
      <alignment vertical="center"/>
    </xf>
    <xf numFmtId="175" fontId="5" fillId="0" borderId="14" xfId="0" applyNumberFormat="1" applyFont="1" applyFill="1" applyBorder="1" applyAlignment="1">
      <alignment vertical="center"/>
    </xf>
    <xf numFmtId="175" fontId="6" fillId="0" borderId="15" xfId="0" applyNumberFormat="1" applyFont="1" applyFill="1" applyBorder="1" applyAlignment="1">
      <alignment vertical="center"/>
    </xf>
    <xf numFmtId="175" fontId="6" fillId="0" borderId="15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175" fontId="1" fillId="0" borderId="21" xfId="0" applyNumberFormat="1" applyFont="1" applyFill="1" applyBorder="1" applyAlignment="1">
      <alignment vertical="center"/>
    </xf>
    <xf numFmtId="175" fontId="1" fillId="0" borderId="21" xfId="0" applyNumberFormat="1" applyFont="1" applyFill="1" applyBorder="1" applyAlignment="1">
      <alignment horizontal="right" vertical="center"/>
    </xf>
    <xf numFmtId="175" fontId="1" fillId="0" borderId="22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75" fontId="1" fillId="0" borderId="21" xfId="0" applyNumberFormat="1" applyFont="1" applyFill="1" applyBorder="1" applyAlignment="1">
      <alignment/>
    </xf>
    <xf numFmtId="175" fontId="1" fillId="0" borderId="22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5" fontId="1" fillId="0" borderId="15" xfId="0" applyNumberFormat="1" applyFont="1" applyFill="1" applyBorder="1" applyAlignment="1">
      <alignment/>
    </xf>
    <xf numFmtId="175" fontId="1" fillId="0" borderId="16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5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5" fontId="6" fillId="0" borderId="18" xfId="0" applyNumberFormat="1" applyFont="1" applyFill="1" applyBorder="1" applyAlignment="1">
      <alignment/>
    </xf>
    <xf numFmtId="175" fontId="6" fillId="0" borderId="19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5" fontId="6" fillId="34" borderId="10" xfId="0" applyNumberFormat="1" applyFont="1" applyFill="1" applyBorder="1" applyAlignment="1">
      <alignment/>
    </xf>
    <xf numFmtId="175" fontId="6" fillId="33" borderId="1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175" fontId="5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6" fillId="32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14" xfId="0" applyFont="1" applyFill="1" applyBorder="1" applyAlignment="1">
      <alignment vertical="center"/>
    </xf>
    <xf numFmtId="175" fontId="6" fillId="0" borderId="16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5" fontId="6" fillId="0" borderId="16" xfId="0" applyNumberFormat="1" applyFont="1" applyFill="1" applyBorder="1" applyAlignment="1">
      <alignment horizontal="right" vertical="center"/>
    </xf>
    <xf numFmtId="175" fontId="5" fillId="0" borderId="0" xfId="0" applyNumberFormat="1" applyFont="1" applyBorder="1" applyAlignment="1">
      <alignment horizontal="right" vertical="center"/>
    </xf>
    <xf numFmtId="175" fontId="5" fillId="0" borderId="0" xfId="0" applyNumberFormat="1" applyFont="1" applyBorder="1" applyAlignment="1">
      <alignment horizontal="left" vertical="center"/>
    </xf>
    <xf numFmtId="44" fontId="8" fillId="0" borderId="0" xfId="0" applyNumberFormat="1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horizontal="center" vertical="center"/>
    </xf>
    <xf numFmtId="175" fontId="1" fillId="0" borderId="15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left" vertical="center"/>
    </xf>
    <xf numFmtId="175" fontId="1" fillId="0" borderId="23" xfId="0" applyNumberFormat="1" applyFont="1" applyFill="1" applyBorder="1" applyAlignment="1">
      <alignment horizontal="right" vertical="center"/>
    </xf>
    <xf numFmtId="176" fontId="9" fillId="33" borderId="10" xfId="0" applyNumberFormat="1" applyFont="1" applyFill="1" applyBorder="1" applyAlignment="1">
      <alignment vertical="center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left"/>
    </xf>
    <xf numFmtId="175" fontId="6" fillId="0" borderId="0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2" fontId="8" fillId="0" borderId="0" xfId="0" applyNumberFormat="1" applyFont="1" applyFill="1" applyBorder="1" applyAlignment="1">
      <alignment vertical="center"/>
    </xf>
    <xf numFmtId="175" fontId="1" fillId="0" borderId="0" xfId="0" applyNumberFormat="1" applyFont="1" applyAlignment="1">
      <alignment horizontal="left" vertical="center"/>
    </xf>
    <xf numFmtId="175" fontId="1" fillId="0" borderId="0" xfId="0" applyNumberFormat="1" applyFont="1" applyAlignment="1">
      <alignment horizontal="left"/>
    </xf>
    <xf numFmtId="175" fontId="1" fillId="0" borderId="0" xfId="0" applyNumberFormat="1" applyFont="1" applyFill="1" applyAlignment="1">
      <alignment horizontal="left"/>
    </xf>
    <xf numFmtId="175" fontId="7" fillId="0" borderId="0" xfId="0" applyNumberFormat="1" applyFont="1" applyFill="1" applyAlignment="1">
      <alignment horizontal="left"/>
    </xf>
    <xf numFmtId="175" fontId="1" fillId="0" borderId="0" xfId="0" applyNumberFormat="1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 horizontal="left"/>
    </xf>
    <xf numFmtId="175" fontId="1" fillId="0" borderId="0" xfId="0" applyNumberFormat="1" applyFont="1" applyFill="1" applyBorder="1" applyAlignment="1">
      <alignment horizontal="left"/>
    </xf>
    <xf numFmtId="175" fontId="1" fillId="0" borderId="15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Border="1" applyAlignment="1">
      <alignment horizontal="right" vertical="center"/>
    </xf>
    <xf numFmtId="44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vertical="center"/>
    </xf>
    <xf numFmtId="175" fontId="6" fillId="0" borderId="0" xfId="0" applyNumberFormat="1" applyFont="1" applyAlignment="1">
      <alignment horizontal="left" vertical="center"/>
    </xf>
    <xf numFmtId="175" fontId="6" fillId="0" borderId="0" xfId="0" applyNumberFormat="1" applyFont="1" applyFill="1" applyAlignment="1">
      <alignment horizontal="left" vertical="center"/>
    </xf>
    <xf numFmtId="175" fontId="6" fillId="0" borderId="0" xfId="0" applyNumberFormat="1" applyFont="1" applyBorder="1" applyAlignment="1">
      <alignment horizontal="left" vertical="center"/>
    </xf>
    <xf numFmtId="44" fontId="9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 vertical="center"/>
    </xf>
    <xf numFmtId="170" fontId="5" fillId="0" borderId="0" xfId="50" applyFont="1" applyFill="1" applyBorder="1" applyAlignment="1">
      <alignment/>
    </xf>
    <xf numFmtId="9" fontId="5" fillId="0" borderId="0" xfId="54" applyFont="1" applyBorder="1" applyAlignment="1">
      <alignment vertical="center"/>
    </xf>
    <xf numFmtId="9" fontId="1" fillId="0" borderId="0" xfId="54" applyFont="1" applyBorder="1" applyAlignment="1">
      <alignment/>
    </xf>
    <xf numFmtId="175" fontId="14" fillId="0" borderId="0" xfId="0" applyNumberFormat="1" applyFont="1" applyFill="1" applyBorder="1" applyAlignment="1">
      <alignment/>
    </xf>
    <xf numFmtId="175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5" fontId="2" fillId="0" borderId="21" xfId="0" applyNumberFormat="1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right" vertical="center"/>
    </xf>
    <xf numFmtId="175" fontId="2" fillId="0" borderId="11" xfId="0" applyNumberFormat="1" applyFont="1" applyFill="1" applyBorder="1" applyAlignment="1">
      <alignment vertical="center"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vertical="center"/>
    </xf>
    <xf numFmtId="175" fontId="6" fillId="0" borderId="18" xfId="0" applyNumberFormat="1" applyFont="1" applyFill="1" applyBorder="1" applyAlignment="1">
      <alignment horizontal="right" vertical="center"/>
    </xf>
    <xf numFmtId="175" fontId="6" fillId="0" borderId="18" xfId="0" applyNumberFormat="1" applyFont="1" applyFill="1" applyBorder="1" applyAlignment="1">
      <alignment/>
    </xf>
    <xf numFmtId="175" fontId="6" fillId="0" borderId="17" xfId="0" applyNumberFormat="1" applyFont="1" applyFill="1" applyBorder="1" applyAlignment="1">
      <alignment vertical="center"/>
    </xf>
    <xf numFmtId="175" fontId="6" fillId="0" borderId="11" xfId="0" applyNumberFormat="1" applyFont="1" applyFill="1" applyBorder="1" applyAlignment="1">
      <alignment vertical="center"/>
    </xf>
    <xf numFmtId="175" fontId="6" fillId="0" borderId="21" xfId="0" applyNumberFormat="1" applyFont="1" applyFill="1" applyBorder="1" applyAlignment="1">
      <alignment horizontal="right" vertical="center"/>
    </xf>
    <xf numFmtId="175" fontId="5" fillId="0" borderId="21" xfId="0" applyNumberFormat="1" applyFont="1" applyFill="1" applyBorder="1" applyAlignment="1">
      <alignment/>
    </xf>
    <xf numFmtId="175" fontId="5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5" fontId="1" fillId="0" borderId="21" xfId="0" applyNumberFormat="1" applyFont="1" applyFill="1" applyBorder="1" applyAlignment="1">
      <alignment/>
    </xf>
    <xf numFmtId="175" fontId="1" fillId="0" borderId="15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/>
    </xf>
    <xf numFmtId="175" fontId="1" fillId="0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75" fontId="5" fillId="35" borderId="0" xfId="0" applyNumberFormat="1" applyFont="1" applyFill="1" applyBorder="1" applyAlignment="1">
      <alignment vertical="center"/>
    </xf>
    <xf numFmtId="9" fontId="5" fillId="0" borderId="0" xfId="54" applyFont="1" applyFill="1" applyBorder="1" applyAlignment="1">
      <alignment horizontal="left" vertical="center"/>
    </xf>
    <xf numFmtId="9" fontId="5" fillId="0" borderId="0" xfId="54" applyFont="1" applyFill="1" applyBorder="1" applyAlignment="1">
      <alignment vertical="center"/>
    </xf>
    <xf numFmtId="0" fontId="0" fillId="0" borderId="0" xfId="0" applyAlignment="1">
      <alignment vertical="center"/>
    </xf>
    <xf numFmtId="172" fontId="5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75" fontId="6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vertical="center"/>
    </xf>
    <xf numFmtId="44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44" fontId="1" fillId="0" borderId="16" xfId="0" applyNumberFormat="1" applyFont="1" applyFill="1" applyBorder="1" applyAlignment="1">
      <alignment vertical="center"/>
    </xf>
    <xf numFmtId="44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4" fontId="1" fillId="0" borderId="13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" fontId="1" fillId="0" borderId="1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right" vertical="center"/>
    </xf>
    <xf numFmtId="44" fontId="1" fillId="0" borderId="2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 horizontal="left"/>
    </xf>
    <xf numFmtId="0" fontId="6" fillId="34" borderId="19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172" fontId="5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0" fontId="1" fillId="0" borderId="16" xfId="0" applyFont="1" applyFill="1" applyBorder="1" applyAlignment="1">
      <alignment vertical="center"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2" fontId="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175" fontId="5" fillId="0" borderId="16" xfId="0" applyNumberFormat="1" applyFont="1" applyFill="1" applyBorder="1" applyAlignment="1">
      <alignment/>
    </xf>
    <xf numFmtId="175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44" fontId="5" fillId="0" borderId="2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173" fontId="1" fillId="0" borderId="21" xfId="0" applyNumberFormat="1" applyFont="1" applyFill="1" applyBorder="1" applyAlignment="1">
      <alignment vertical="center"/>
    </xf>
    <xf numFmtId="44" fontId="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 horizontal="left"/>
    </xf>
    <xf numFmtId="172" fontId="5" fillId="0" borderId="0" xfId="0" applyNumberFormat="1" applyFont="1" applyBorder="1" applyAlignment="1">
      <alignment horizontal="right" vertical="center"/>
    </xf>
    <xf numFmtId="44" fontId="5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0" fontId="5" fillId="0" borderId="0" xfId="54" applyNumberFormat="1" applyFont="1" applyFill="1" applyBorder="1" applyAlignment="1">
      <alignment/>
    </xf>
    <xf numFmtId="175" fontId="6" fillId="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Fill="1" applyBorder="1" applyAlignment="1">
      <alignment vertical="center"/>
    </xf>
    <xf numFmtId="44" fontId="5" fillId="0" borderId="18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0" fontId="5" fillId="0" borderId="0" xfId="54" applyNumberFormat="1" applyFont="1" applyFill="1" applyBorder="1" applyAlignment="1">
      <alignment vertical="center"/>
    </xf>
    <xf numFmtId="172" fontId="15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2" fontId="5" fillId="0" borderId="0" xfId="0" applyNumberFormat="1" applyFont="1" applyBorder="1" applyAlignment="1">
      <alignment horizontal="left"/>
    </xf>
    <xf numFmtId="9" fontId="5" fillId="0" borderId="0" xfId="54" applyNumberFormat="1" applyFont="1" applyFill="1" applyBorder="1" applyAlignment="1">
      <alignment vertical="center"/>
    </xf>
    <xf numFmtId="9" fontId="5" fillId="0" borderId="0" xfId="54" applyNumberFormat="1" applyFont="1" applyFill="1" applyBorder="1" applyAlignment="1">
      <alignment horizontal="left" vertical="center"/>
    </xf>
    <xf numFmtId="44" fontId="15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/>
    </xf>
    <xf numFmtId="172" fontId="15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1" fillId="0" borderId="24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5" fontId="23" fillId="0" borderId="0" xfId="0" applyNumberFormat="1" applyFont="1" applyBorder="1" applyAlignment="1">
      <alignment vertical="center"/>
    </xf>
    <xf numFmtId="175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4" fontId="2" fillId="0" borderId="18" xfId="0" applyNumberFormat="1" applyFont="1" applyFill="1" applyBorder="1" applyAlignment="1">
      <alignment vertical="center"/>
    </xf>
    <xf numFmtId="175" fontId="2" fillId="0" borderId="18" xfId="0" applyNumberFormat="1" applyFont="1" applyFill="1" applyBorder="1" applyAlignment="1">
      <alignment vertical="center"/>
    </xf>
    <xf numFmtId="172" fontId="2" fillId="0" borderId="19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left"/>
    </xf>
    <xf numFmtId="9" fontId="5" fillId="0" borderId="0" xfId="54" applyFont="1" applyAlignment="1">
      <alignment/>
    </xf>
    <xf numFmtId="9" fontId="5" fillId="0" borderId="0" xfId="54" applyFont="1" applyFill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5" fontId="5" fillId="0" borderId="0" xfId="0" applyNumberFormat="1" applyFont="1" applyFill="1" applyAlignment="1">
      <alignment horizontal="left"/>
    </xf>
    <xf numFmtId="9" fontId="6" fillId="0" borderId="0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left" vertical="center"/>
    </xf>
    <xf numFmtId="9" fontId="1" fillId="0" borderId="0" xfId="54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5" fontId="2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 horizontal="center"/>
    </xf>
    <xf numFmtId="175" fontId="6" fillId="4" borderId="10" xfId="0" applyNumberFormat="1" applyFont="1" applyFill="1" applyBorder="1" applyAlignment="1">
      <alignment/>
    </xf>
    <xf numFmtId="175" fontId="5" fillId="0" borderId="0" xfId="0" applyNumberFormat="1" applyFont="1" applyAlignment="1">
      <alignment/>
    </xf>
    <xf numFmtId="0" fontId="25" fillId="0" borderId="0" xfId="0" applyFont="1" applyAlignment="1">
      <alignment/>
    </xf>
    <xf numFmtId="175" fontId="1" fillId="0" borderId="25" xfId="0" applyNumberFormat="1" applyFont="1" applyFill="1" applyBorder="1" applyAlignment="1">
      <alignment/>
    </xf>
    <xf numFmtId="9" fontId="1" fillId="0" borderId="0" xfId="54" applyFont="1" applyAlignment="1">
      <alignment/>
    </xf>
    <xf numFmtId="0" fontId="25" fillId="0" borderId="0" xfId="0" applyFont="1" applyAlignment="1">
      <alignment vertical="center"/>
    </xf>
    <xf numFmtId="44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44" fontId="25" fillId="0" borderId="0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 vertical="center"/>
    </xf>
    <xf numFmtId="44" fontId="27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44" fontId="33" fillId="0" borderId="0" xfId="0" applyNumberFormat="1" applyFont="1" applyFill="1" applyBorder="1" applyAlignment="1">
      <alignment vertical="center"/>
    </xf>
    <xf numFmtId="44" fontId="34" fillId="0" borderId="0" xfId="0" applyNumberFormat="1" applyFont="1" applyFill="1" applyBorder="1" applyAlignment="1">
      <alignment horizontal="center" vertical="center"/>
    </xf>
    <xf numFmtId="44" fontId="34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70" fontId="35" fillId="0" borderId="0" xfId="5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4" fontId="9" fillId="0" borderId="0" xfId="0" applyNumberFormat="1" applyFont="1" applyBorder="1" applyAlignment="1">
      <alignment vertical="center"/>
    </xf>
    <xf numFmtId="44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70" fontId="36" fillId="0" borderId="0" xfId="50" applyFont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44" fontId="17" fillId="0" borderId="21" xfId="0" applyNumberFormat="1" applyFont="1" applyFill="1" applyBorder="1" applyAlignment="1">
      <alignment vertical="center"/>
    </xf>
    <xf numFmtId="44" fontId="17" fillId="0" borderId="22" xfId="0" applyNumberFormat="1" applyFont="1" applyFill="1" applyBorder="1" applyAlignment="1">
      <alignment horizontal="right" vertical="center"/>
    </xf>
    <xf numFmtId="0" fontId="17" fillId="0" borderId="11" xfId="0" applyNumberFormat="1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44" fontId="17" fillId="0" borderId="15" xfId="0" applyNumberFormat="1" applyFont="1" applyFill="1" applyBorder="1" applyAlignment="1">
      <alignment vertical="center"/>
    </xf>
    <xf numFmtId="44" fontId="17" fillId="0" borderId="23" xfId="0" applyNumberFormat="1" applyFont="1" applyFill="1" applyBorder="1" applyAlignment="1">
      <alignment horizontal="right" vertical="center"/>
    </xf>
    <xf numFmtId="0" fontId="17" fillId="0" borderId="16" xfId="0" applyNumberFormat="1" applyFont="1" applyFill="1" applyBorder="1" applyAlignment="1">
      <alignment horizontal="left" vertical="center"/>
    </xf>
    <xf numFmtId="0" fontId="17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44" fontId="17" fillId="0" borderId="18" xfId="0" applyNumberFormat="1" applyFont="1" applyFill="1" applyBorder="1" applyAlignment="1">
      <alignment vertical="center"/>
    </xf>
    <xf numFmtId="44" fontId="17" fillId="0" borderId="18" xfId="0" applyNumberFormat="1" applyFont="1" applyFill="1" applyBorder="1" applyAlignment="1">
      <alignment horizontal="center" vertical="center"/>
    </xf>
    <xf numFmtId="44" fontId="17" fillId="0" borderId="19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4" fontId="8" fillId="0" borderId="13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75" fontId="9" fillId="0" borderId="18" xfId="0" applyNumberFormat="1" applyFont="1" applyFill="1" applyBorder="1" applyAlignment="1">
      <alignment vertical="center"/>
    </xf>
    <xf numFmtId="175" fontId="9" fillId="0" borderId="19" xfId="0" applyNumberFormat="1" applyFont="1" applyFill="1" applyBorder="1" applyAlignment="1">
      <alignment horizontal="center" vertical="center"/>
    </xf>
    <xf numFmtId="175" fontId="9" fillId="0" borderId="19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5" fontId="8" fillId="0" borderId="0" xfId="0" applyNumberFormat="1" applyFont="1" applyBorder="1" applyAlignment="1">
      <alignment vertical="center"/>
    </xf>
    <xf numFmtId="175" fontId="8" fillId="0" borderId="0" xfId="0" applyNumberFormat="1" applyFont="1" applyBorder="1" applyAlignment="1">
      <alignment horizontal="center" vertical="center"/>
    </xf>
    <xf numFmtId="170" fontId="0" fillId="0" borderId="0" xfId="50" applyFont="1" applyBorder="1" applyAlignment="1">
      <alignment vertical="center"/>
    </xf>
    <xf numFmtId="175" fontId="9" fillId="3" borderId="10" xfId="0" applyNumberFormat="1" applyFont="1" applyFill="1" applyBorder="1" applyAlignment="1">
      <alignment vertical="center"/>
    </xf>
    <xf numFmtId="175" fontId="8" fillId="0" borderId="0" xfId="0" applyNumberFormat="1" applyFont="1" applyFill="1" applyBorder="1" applyAlignment="1">
      <alignment horizontal="center" vertical="center"/>
    </xf>
    <xf numFmtId="10" fontId="8" fillId="0" borderId="0" xfId="54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170" fontId="37" fillId="0" borderId="0" xfId="50" applyFont="1" applyBorder="1" applyAlignment="1">
      <alignment vertical="center"/>
    </xf>
    <xf numFmtId="170" fontId="15" fillId="0" borderId="0" xfId="50" applyFont="1" applyFill="1" applyAlignment="1">
      <alignment vertical="center"/>
    </xf>
    <xf numFmtId="170" fontId="5" fillId="0" borderId="0" xfId="50" applyFont="1" applyBorder="1" applyAlignment="1">
      <alignment vertical="center"/>
    </xf>
    <xf numFmtId="175" fontId="5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vertical="center"/>
    </xf>
    <xf numFmtId="172" fontId="15" fillId="0" borderId="0" xfId="0" applyNumberFormat="1" applyFont="1" applyBorder="1" applyAlignment="1">
      <alignment vertical="center"/>
    </xf>
    <xf numFmtId="170" fontId="15" fillId="0" borderId="0" xfId="50" applyFont="1" applyBorder="1" applyAlignment="1">
      <alignment vertical="center"/>
    </xf>
    <xf numFmtId="172" fontId="22" fillId="0" borderId="0" xfId="0" applyNumberFormat="1" applyFont="1" applyBorder="1" applyAlignment="1">
      <alignment vertical="center"/>
    </xf>
    <xf numFmtId="175" fontId="9" fillId="34" borderId="10" xfId="0" applyNumberFormat="1" applyFont="1" applyFill="1" applyBorder="1" applyAlignment="1">
      <alignment vertical="center"/>
    </xf>
    <xf numFmtId="175" fontId="9" fillId="0" borderId="0" xfId="0" applyNumberFormat="1" applyFont="1" applyBorder="1" applyAlignment="1">
      <alignment horizontal="center" vertical="center"/>
    </xf>
    <xf numFmtId="175" fontId="9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70" fontId="38" fillId="0" borderId="0" xfId="50" applyFont="1" applyBorder="1" applyAlignment="1">
      <alignment vertical="center"/>
    </xf>
    <xf numFmtId="175" fontId="8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170" fontId="37" fillId="0" borderId="0" xfId="50" applyFont="1" applyFill="1" applyBorder="1" applyAlignment="1">
      <alignment horizontal="left" vertical="center"/>
    </xf>
    <xf numFmtId="170" fontId="5" fillId="0" borderId="0" xfId="50" applyFont="1" applyFill="1" applyBorder="1" applyAlignment="1">
      <alignment vertical="center"/>
    </xf>
    <xf numFmtId="170" fontId="1" fillId="0" borderId="0" xfId="5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5" fontId="9" fillId="33" borderId="1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170" fontId="1" fillId="0" borderId="0" xfId="50" applyFont="1" applyFill="1" applyBorder="1" applyAlignment="1">
      <alignment vertical="center"/>
    </xf>
    <xf numFmtId="175" fontId="9" fillId="32" borderId="1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Border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175" fontId="17" fillId="0" borderId="21" xfId="0" applyNumberFormat="1" applyFont="1" applyFill="1" applyBorder="1" applyAlignment="1">
      <alignment vertical="center"/>
    </xf>
    <xf numFmtId="175" fontId="17" fillId="0" borderId="2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0" fontId="0" fillId="0" borderId="0" xfId="50" applyFont="1" applyBorder="1" applyAlignment="1">
      <alignment vertical="center"/>
    </xf>
    <xf numFmtId="175" fontId="17" fillId="0" borderId="15" xfId="0" applyNumberFormat="1" applyFont="1" applyFill="1" applyBorder="1" applyAlignment="1">
      <alignment vertical="center"/>
    </xf>
    <xf numFmtId="175" fontId="17" fillId="0" borderId="2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75" fontId="17" fillId="0" borderId="0" xfId="0" applyNumberFormat="1" applyFont="1" applyFill="1" applyBorder="1" applyAlignment="1">
      <alignment vertical="center"/>
    </xf>
    <xf numFmtId="175" fontId="17" fillId="0" borderId="0" xfId="0" applyNumberFormat="1" applyFont="1" applyFill="1" applyBorder="1" applyAlignment="1">
      <alignment horizontal="center" vertical="center"/>
    </xf>
    <xf numFmtId="175" fontId="17" fillId="0" borderId="13" xfId="0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170" fontId="39" fillId="0" borderId="0" xfId="50" applyFont="1" applyBorder="1" applyAlignment="1">
      <alignment vertical="center"/>
    </xf>
    <xf numFmtId="0" fontId="40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75" fontId="17" fillId="0" borderId="15" xfId="0" applyNumberFormat="1" applyFont="1" applyFill="1" applyBorder="1" applyAlignment="1">
      <alignment horizontal="center" vertical="center"/>
    </xf>
    <xf numFmtId="175" fontId="17" fillId="0" borderId="16" xfId="0" applyNumberFormat="1" applyFont="1" applyFill="1" applyBorder="1" applyAlignment="1">
      <alignment vertical="center"/>
    </xf>
    <xf numFmtId="175" fontId="8" fillId="0" borderId="13" xfId="0" applyNumberFormat="1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170" fontId="41" fillId="0" borderId="0" xfId="50" applyFont="1" applyBorder="1" applyAlignment="1">
      <alignment vertical="center"/>
    </xf>
    <xf numFmtId="170" fontId="0" fillId="0" borderId="0" xfId="50" applyFont="1" applyFill="1" applyBorder="1" applyAlignment="1">
      <alignment horizontal="left" vertical="center"/>
    </xf>
    <xf numFmtId="175" fontId="1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0" fontId="22" fillId="0" borderId="0" xfId="50" applyFont="1" applyBorder="1" applyAlignment="1">
      <alignment vertical="center"/>
    </xf>
    <xf numFmtId="175" fontId="8" fillId="0" borderId="0" xfId="0" applyNumberFormat="1" applyFont="1" applyBorder="1" applyAlignment="1">
      <alignment horizontal="left" vertical="center"/>
    </xf>
    <xf numFmtId="175" fontId="9" fillId="0" borderId="0" xfId="0" applyNumberFormat="1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5" fontId="0" fillId="0" borderId="0" xfId="0" applyNumberForma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175" fontId="9" fillId="0" borderId="0" xfId="0" applyNumberFormat="1" applyFont="1" applyFill="1" applyAlignment="1">
      <alignment horizontal="left" vertical="center"/>
    </xf>
    <xf numFmtId="10" fontId="8" fillId="0" borderId="0" xfId="54" applyNumberFormat="1" applyFont="1" applyBorder="1" applyAlignment="1">
      <alignment vertical="center"/>
    </xf>
    <xf numFmtId="10" fontId="8" fillId="0" borderId="0" xfId="54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75" fontId="1" fillId="0" borderId="24" xfId="0" applyNumberFormat="1" applyFont="1" applyFill="1" applyBorder="1" applyAlignment="1">
      <alignment horizontal="right" vertical="center"/>
    </xf>
    <xf numFmtId="0" fontId="17" fillId="0" borderId="13" xfId="0" applyNumberFormat="1" applyFont="1" applyFill="1" applyBorder="1" applyAlignment="1">
      <alignment horizontal="left" vertical="center"/>
    </xf>
    <xf numFmtId="175" fontId="1" fillId="0" borderId="11" xfId="0" applyNumberFormat="1" applyFont="1" applyFill="1" applyBorder="1" applyAlignment="1">
      <alignment vertical="center"/>
    </xf>
    <xf numFmtId="175" fontId="1" fillId="0" borderId="13" xfId="0" applyNumberFormat="1" applyFont="1" applyFill="1" applyBorder="1" applyAlignment="1">
      <alignment vertical="center"/>
    </xf>
    <xf numFmtId="170" fontId="0" fillId="0" borderId="0" xfId="50" applyFont="1" applyFill="1" applyBorder="1" applyAlignment="1">
      <alignment vertical="center"/>
    </xf>
    <xf numFmtId="175" fontId="1" fillId="0" borderId="16" xfId="0" applyNumberFormat="1" applyFont="1" applyFill="1" applyBorder="1" applyAlignment="1">
      <alignment vertical="center"/>
    </xf>
    <xf numFmtId="175" fontId="5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175" fontId="0" fillId="0" borderId="0" xfId="0" applyNumberFormat="1" applyFill="1" applyBorder="1" applyAlignment="1">
      <alignment vertical="center"/>
    </xf>
    <xf numFmtId="175" fontId="8" fillId="0" borderId="26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175" fontId="5" fillId="0" borderId="28" xfId="0" applyNumberFormat="1" applyFont="1" applyBorder="1" applyAlignment="1">
      <alignment horizontal="left" vertical="center"/>
    </xf>
    <xf numFmtId="175" fontId="6" fillId="0" borderId="26" xfId="0" applyNumberFormat="1" applyFont="1" applyBorder="1" applyAlignment="1">
      <alignment vertical="center"/>
    </xf>
    <xf numFmtId="175" fontId="14" fillId="0" borderId="0" xfId="0" applyNumberFormat="1" applyFont="1" applyFill="1" applyBorder="1" applyAlignment="1">
      <alignment vertical="center"/>
    </xf>
    <xf numFmtId="170" fontId="5" fillId="0" borderId="0" xfId="50" applyFont="1" applyFill="1" applyBorder="1" applyAlignment="1">
      <alignment horizontal="left" vertical="center"/>
    </xf>
    <xf numFmtId="175" fontId="0" fillId="0" borderId="0" xfId="0" applyNumberFormat="1" applyFont="1" applyFill="1" applyBorder="1" applyAlignment="1">
      <alignment horizontal="left" vertical="center"/>
    </xf>
    <xf numFmtId="175" fontId="41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75" fontId="8" fillId="0" borderId="0" xfId="0" applyNumberFormat="1" applyFont="1" applyAlignment="1">
      <alignment vertical="center"/>
    </xf>
    <xf numFmtId="175" fontId="8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0" fontId="19" fillId="0" borderId="0" xfId="5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75" fontId="8" fillId="0" borderId="15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5" fontId="9" fillId="0" borderId="0" xfId="0" applyNumberFormat="1" applyFont="1" applyFill="1" applyAlignment="1">
      <alignment vertical="center"/>
    </xf>
    <xf numFmtId="175" fontId="9" fillId="0" borderId="0" xfId="0" applyNumberFormat="1" applyFont="1" applyFill="1" applyAlignment="1">
      <alignment horizontal="right" vertical="center"/>
    </xf>
    <xf numFmtId="175" fontId="9" fillId="36" borderId="10" xfId="0" applyNumberFormat="1" applyFont="1" applyFill="1" applyBorder="1" applyAlignment="1">
      <alignment vertical="center"/>
    </xf>
    <xf numFmtId="175" fontId="8" fillId="0" borderId="0" xfId="0" applyNumberFormat="1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70" fontId="22" fillId="0" borderId="0" xfId="50" applyFont="1" applyFill="1" applyBorder="1" applyAlignment="1">
      <alignment horizontal="left" vertical="center"/>
    </xf>
    <xf numFmtId="175" fontId="8" fillId="0" borderId="0" xfId="0" applyNumberFormat="1" applyFont="1" applyBorder="1" applyAlignment="1">
      <alignment horizontal="right" vertical="center"/>
    </xf>
    <xf numFmtId="175" fontId="8" fillId="0" borderId="0" xfId="0" applyNumberFormat="1" applyFont="1" applyFill="1" applyAlignment="1">
      <alignment vertical="center"/>
    </xf>
    <xf numFmtId="175" fontId="8" fillId="0" borderId="0" xfId="0" applyNumberFormat="1" applyFont="1" applyAlignment="1">
      <alignment horizontal="left" vertical="center"/>
    </xf>
    <xf numFmtId="175" fontId="8" fillId="0" borderId="0" xfId="0" applyNumberFormat="1" applyFont="1" applyAlignment="1">
      <alignment horizontal="right" vertical="center"/>
    </xf>
    <xf numFmtId="0" fontId="19" fillId="0" borderId="2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175" fontId="17" fillId="0" borderId="16" xfId="0" applyNumberFormat="1" applyFont="1" applyFill="1" applyBorder="1" applyAlignment="1">
      <alignment horizontal="left" vertical="center"/>
    </xf>
    <xf numFmtId="175" fontId="8" fillId="0" borderId="13" xfId="0" applyNumberFormat="1" applyFont="1" applyFill="1" applyBorder="1" applyAlignment="1">
      <alignment horizontal="right" vertical="center"/>
    </xf>
    <xf numFmtId="0" fontId="19" fillId="0" borderId="18" xfId="0" applyFont="1" applyBorder="1" applyAlignment="1">
      <alignment vertical="center"/>
    </xf>
    <xf numFmtId="175" fontId="9" fillId="0" borderId="10" xfId="0" applyNumberFormat="1" applyFont="1" applyFill="1" applyBorder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170" fontId="45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5" fontId="9" fillId="0" borderId="0" xfId="0" applyNumberFormat="1" applyFont="1" applyAlignment="1">
      <alignment horizontal="center" vertical="center"/>
    </xf>
    <xf numFmtId="49" fontId="17" fillId="0" borderId="11" xfId="0" applyNumberFormat="1" applyFont="1" applyFill="1" applyBorder="1" applyAlignment="1">
      <alignment horizontal="left" vertical="center"/>
    </xf>
    <xf numFmtId="175" fontId="17" fillId="0" borderId="23" xfId="0" applyNumberFormat="1" applyFont="1" applyFill="1" applyBorder="1" applyAlignment="1">
      <alignment horizontal="center" vertical="center"/>
    </xf>
    <xf numFmtId="7" fontId="6" fillId="0" borderId="0" xfId="0" applyNumberFormat="1" applyFont="1" applyBorder="1" applyAlignment="1">
      <alignment vertical="center"/>
    </xf>
    <xf numFmtId="7" fontId="5" fillId="0" borderId="0" xfId="0" applyNumberFormat="1" applyFont="1" applyFill="1" applyBorder="1" applyAlignment="1">
      <alignment horizontal="left" vertical="center"/>
    </xf>
    <xf numFmtId="170" fontId="15" fillId="0" borderId="0" xfId="50" applyFont="1" applyFill="1" applyBorder="1" applyAlignment="1">
      <alignment horizontal="left" vertical="center"/>
    </xf>
    <xf numFmtId="10" fontId="8" fillId="0" borderId="0" xfId="54" applyNumberFormat="1" applyFont="1" applyFill="1" applyAlignment="1">
      <alignment vertical="center"/>
    </xf>
    <xf numFmtId="10" fontId="8" fillId="0" borderId="0" xfId="54" applyNumberFormat="1" applyFont="1" applyFill="1" applyAlignment="1">
      <alignment horizontal="left" vertical="center"/>
    </xf>
    <xf numFmtId="175" fontId="8" fillId="0" borderId="0" xfId="0" applyNumberFormat="1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175" fontId="19" fillId="0" borderId="0" xfId="50" applyNumberFormat="1" applyFont="1" applyFill="1" applyBorder="1" applyAlignment="1">
      <alignment vertical="center"/>
    </xf>
    <xf numFmtId="170" fontId="19" fillId="0" borderId="0" xfId="50" applyFont="1" applyFill="1" applyBorder="1" applyAlignment="1">
      <alignment vertical="center"/>
    </xf>
    <xf numFmtId="175" fontId="19" fillId="0" borderId="0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175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0" fontId="0" fillId="0" borderId="0" xfId="50" applyFont="1" applyFill="1" applyAlignment="1">
      <alignment vertical="center"/>
    </xf>
    <xf numFmtId="44" fontId="8" fillId="0" borderId="0" xfId="0" applyNumberFormat="1" applyFont="1" applyAlignment="1">
      <alignment horizontal="center" vertical="center"/>
    </xf>
    <xf numFmtId="170" fontId="0" fillId="0" borderId="0" xfId="50" applyFont="1" applyAlignment="1">
      <alignment vertical="center"/>
    </xf>
    <xf numFmtId="44" fontId="8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75" fontId="5" fillId="0" borderId="0" xfId="0" applyNumberFormat="1" applyFont="1" applyAlignment="1">
      <alignment horizontal="left" vertical="center"/>
    </xf>
    <xf numFmtId="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9" fontId="5" fillId="0" borderId="0" xfId="0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left" vertical="center"/>
    </xf>
    <xf numFmtId="175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vertical="center"/>
    </xf>
    <xf numFmtId="4" fontId="13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left" vertical="center"/>
    </xf>
    <xf numFmtId="175" fontId="13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9" fontId="5" fillId="0" borderId="0" xfId="0" applyNumberFormat="1" applyFont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175" fontId="13" fillId="0" borderId="0" xfId="0" applyNumberFormat="1" applyFont="1" applyFill="1" applyAlignment="1">
      <alignment vertical="center"/>
    </xf>
    <xf numFmtId="9" fontId="1" fillId="0" borderId="0" xfId="0" applyNumberFormat="1" applyFont="1" applyAlignment="1">
      <alignment vertical="center"/>
    </xf>
    <xf numFmtId="9" fontId="5" fillId="0" borderId="0" xfId="0" applyNumberFormat="1" applyFont="1" applyAlignment="1">
      <alignment horizontal="left" vertical="center"/>
    </xf>
    <xf numFmtId="9" fontId="1" fillId="0" borderId="0" xfId="0" applyNumberFormat="1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vertical="center"/>
    </xf>
    <xf numFmtId="9" fontId="13" fillId="0" borderId="0" xfId="0" applyNumberFormat="1" applyFont="1" applyFill="1" applyBorder="1" applyAlignment="1">
      <alignment vertical="center"/>
    </xf>
    <xf numFmtId="175" fontId="1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horizontal="center" vertical="center"/>
    </xf>
    <xf numFmtId="172" fontId="14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horizontal="left" vertical="center"/>
    </xf>
    <xf numFmtId="175" fontId="13" fillId="0" borderId="0" xfId="0" applyNumberFormat="1" applyFont="1" applyFill="1" applyAlignment="1">
      <alignment horizontal="left" vertical="center"/>
    </xf>
    <xf numFmtId="175" fontId="5" fillId="0" borderId="15" xfId="0" applyNumberFormat="1" applyFont="1" applyFill="1" applyBorder="1" applyAlignment="1">
      <alignment vertical="center"/>
    </xf>
    <xf numFmtId="175" fontId="5" fillId="0" borderId="16" xfId="0" applyNumberFormat="1" applyFont="1" applyFill="1" applyBorder="1" applyAlignment="1">
      <alignment vertical="center"/>
    </xf>
    <xf numFmtId="175" fontId="23" fillId="0" borderId="0" xfId="0" applyNumberFormat="1" applyFont="1" applyFill="1" applyBorder="1" applyAlignment="1">
      <alignment vertical="center"/>
    </xf>
    <xf numFmtId="9" fontId="1" fillId="0" borderId="0" xfId="54" applyFont="1" applyAlignment="1">
      <alignment vertical="center"/>
    </xf>
    <xf numFmtId="9" fontId="1" fillId="0" borderId="0" xfId="54" applyFont="1" applyFill="1" applyAlignment="1">
      <alignment vertical="center"/>
    </xf>
    <xf numFmtId="175" fontId="6" fillId="5" borderId="10" xfId="0" applyNumberFormat="1" applyFont="1" applyFill="1" applyBorder="1" applyAlignment="1">
      <alignment vertical="center"/>
    </xf>
    <xf numFmtId="175" fontId="6" fillId="37" borderId="10" xfId="0" applyNumberFormat="1" applyFont="1" applyFill="1" applyBorder="1" applyAlignment="1">
      <alignment vertical="center"/>
    </xf>
    <xf numFmtId="175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5" fontId="14" fillId="0" borderId="0" xfId="0" applyNumberFormat="1" applyFont="1" applyAlignment="1">
      <alignment vertical="center"/>
    </xf>
    <xf numFmtId="175" fontId="6" fillId="18" borderId="1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5" fontId="46" fillId="0" borderId="0" xfId="0" applyNumberFormat="1" applyFont="1" applyFill="1" applyBorder="1" applyAlignment="1">
      <alignment vertical="center"/>
    </xf>
    <xf numFmtId="175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9" fontId="46" fillId="0" borderId="0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left" vertical="center"/>
    </xf>
    <xf numFmtId="175" fontId="1" fillId="0" borderId="0" xfId="0" applyNumberFormat="1" applyFont="1" applyFill="1" applyBorder="1" applyAlignment="1">
      <alignment horizontal="right" vertical="center"/>
    </xf>
    <xf numFmtId="175" fontId="5" fillId="0" borderId="1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175" fontId="6" fillId="3" borderId="19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Alignment="1">
      <alignment horizontal="right" vertical="center"/>
    </xf>
    <xf numFmtId="9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left" vertical="center"/>
    </xf>
    <xf numFmtId="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9" fontId="1" fillId="0" borderId="0" xfId="0" applyNumberFormat="1" applyFont="1" applyBorder="1" applyAlignment="1">
      <alignment vertical="center"/>
    </xf>
    <xf numFmtId="175" fontId="5" fillId="0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5" fontId="5" fillId="0" borderId="21" xfId="0" applyNumberFormat="1" applyFont="1" applyFill="1" applyBorder="1" applyAlignment="1">
      <alignment vertical="center"/>
    </xf>
    <xf numFmtId="175" fontId="5" fillId="0" borderId="21" xfId="0" applyNumberFormat="1" applyFont="1" applyFill="1" applyBorder="1" applyAlignment="1">
      <alignment horizontal="right" vertical="center"/>
    </xf>
    <xf numFmtId="175" fontId="5" fillId="0" borderId="11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75" fontId="6" fillId="32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9" fontId="5" fillId="0" borderId="0" xfId="0" applyNumberFormat="1" applyFont="1" applyFill="1" applyAlignment="1">
      <alignment vertical="center"/>
    </xf>
    <xf numFmtId="175" fontId="5" fillId="0" borderId="0" xfId="0" applyNumberFormat="1" applyFont="1" applyFill="1" applyAlignment="1">
      <alignment horizontal="right" vertical="center"/>
    </xf>
    <xf numFmtId="9" fontId="6" fillId="0" borderId="0" xfId="0" applyNumberFormat="1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75" fontId="6" fillId="0" borderId="21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horizontal="right" vertical="center"/>
    </xf>
    <xf numFmtId="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9" fontId="5" fillId="0" borderId="0" xfId="0" applyNumberFormat="1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center" vertical="center"/>
    </xf>
    <xf numFmtId="175" fontId="5" fillId="0" borderId="0" xfId="50" applyNumberFormat="1" applyFont="1" applyFill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horizontal="left" vertical="center"/>
    </xf>
    <xf numFmtId="172" fontId="5" fillId="0" borderId="15" xfId="0" applyNumberFormat="1" applyFont="1" applyFill="1" applyBorder="1" applyAlignment="1">
      <alignment vertical="center"/>
    </xf>
    <xf numFmtId="0" fontId="97" fillId="0" borderId="0" xfId="0" applyFont="1" applyFill="1" applyAlignment="1">
      <alignment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54" applyFont="1" applyFill="1" applyBorder="1" applyAlignment="1">
      <alignment/>
    </xf>
    <xf numFmtId="175" fontId="1" fillId="0" borderId="11" xfId="0" applyNumberFormat="1" applyFont="1" applyFill="1" applyBorder="1" applyAlignment="1">
      <alignment/>
    </xf>
    <xf numFmtId="175" fontId="1" fillId="0" borderId="24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/>
    </xf>
    <xf numFmtId="175" fontId="1" fillId="0" borderId="15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9" fontId="1" fillId="0" borderId="0" xfId="54" applyFont="1" applyFill="1" applyAlignment="1">
      <alignment horizontal="left"/>
    </xf>
    <xf numFmtId="175" fontId="13" fillId="0" borderId="0" xfId="0" applyNumberFormat="1" applyFont="1" applyFill="1" applyBorder="1" applyAlignment="1">
      <alignment/>
    </xf>
    <xf numFmtId="175" fontId="13" fillId="0" borderId="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175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75" fontId="13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10" fontId="1" fillId="0" borderId="0" xfId="54" applyNumberFormat="1" applyFont="1" applyAlignment="1">
      <alignment/>
    </xf>
    <xf numFmtId="175" fontId="2" fillId="0" borderId="0" xfId="0" applyNumberFormat="1" applyFont="1" applyAlignment="1">
      <alignment/>
    </xf>
    <xf numFmtId="4" fontId="98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left" vertical="center"/>
    </xf>
    <xf numFmtId="175" fontId="6" fillId="32" borderId="19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175" fontId="13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4" fontId="47" fillId="0" borderId="0" xfId="0" applyNumberFormat="1" applyFont="1" applyFill="1" applyBorder="1" applyAlignment="1">
      <alignment vertical="center"/>
    </xf>
    <xf numFmtId="175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172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44" fontId="13" fillId="0" borderId="15" xfId="0" applyNumberFormat="1" applyFont="1" applyFill="1" applyBorder="1" applyAlignment="1">
      <alignment vertical="center"/>
    </xf>
    <xf numFmtId="44" fontId="6" fillId="0" borderId="18" xfId="0" applyNumberFormat="1" applyFont="1" applyFill="1" applyBorder="1" applyAlignment="1">
      <alignment vertical="center"/>
    </xf>
    <xf numFmtId="44" fontId="6" fillId="0" borderId="18" xfId="0" applyNumberFormat="1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9" fontId="5" fillId="0" borderId="0" xfId="0" applyNumberFormat="1" applyFont="1" applyAlignment="1">
      <alignment/>
    </xf>
    <xf numFmtId="175" fontId="6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/>
    </xf>
    <xf numFmtId="175" fontId="6" fillId="34" borderId="19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/>
    </xf>
    <xf numFmtId="175" fontId="6" fillId="33" borderId="19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5" fillId="0" borderId="2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44" fontId="6" fillId="0" borderId="15" xfId="0" applyNumberFormat="1" applyFont="1" applyFill="1" applyBorder="1" applyAlignment="1">
      <alignment vertical="center"/>
    </xf>
    <xf numFmtId="44" fontId="6" fillId="0" borderId="16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left"/>
    </xf>
    <xf numFmtId="44" fontId="13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172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72" fontId="13" fillId="0" borderId="0" xfId="0" applyNumberFormat="1" applyFont="1" applyBorder="1" applyAlignment="1">
      <alignment/>
    </xf>
    <xf numFmtId="44" fontId="51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44" fontId="13" fillId="0" borderId="0" xfId="0" applyNumberFormat="1" applyFont="1" applyAlignment="1">
      <alignment vertical="center"/>
    </xf>
    <xf numFmtId="0" fontId="50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5" fontId="6" fillId="0" borderId="23" xfId="0" applyNumberFormat="1" applyFont="1" applyFill="1" applyBorder="1" applyAlignment="1">
      <alignment vertical="center"/>
    </xf>
    <xf numFmtId="9" fontId="1" fillId="0" borderId="0" xfId="54" applyFont="1" applyFill="1" applyAlignment="1">
      <alignment horizontal="left" vertical="center"/>
    </xf>
    <xf numFmtId="0" fontId="0" fillId="0" borderId="12" xfId="0" applyFill="1" applyBorder="1" applyAlignment="1">
      <alignment/>
    </xf>
    <xf numFmtId="175" fontId="5" fillId="0" borderId="21" xfId="0" applyNumberFormat="1" applyFont="1" applyBorder="1" applyAlignment="1">
      <alignment/>
    </xf>
    <xf numFmtId="175" fontId="5" fillId="0" borderId="22" xfId="0" applyNumberFormat="1" applyFont="1" applyFill="1" applyBorder="1" applyAlignment="1">
      <alignment horizontal="right"/>
    </xf>
    <xf numFmtId="175" fontId="5" fillId="0" borderId="15" xfId="0" applyNumberFormat="1" applyFont="1" applyBorder="1" applyAlignment="1">
      <alignment/>
    </xf>
    <xf numFmtId="175" fontId="5" fillId="0" borderId="23" xfId="0" applyNumberFormat="1" applyFont="1" applyFill="1" applyBorder="1" applyAlignment="1">
      <alignment horizontal="right"/>
    </xf>
    <xf numFmtId="177" fontId="6" fillId="0" borderId="0" xfId="54" applyNumberFormat="1" applyFont="1" applyBorder="1" applyAlignment="1">
      <alignment vertical="center"/>
    </xf>
    <xf numFmtId="177" fontId="1" fillId="0" borderId="0" xfId="54" applyNumberFormat="1" applyFont="1" applyBorder="1" applyAlignment="1">
      <alignment/>
    </xf>
    <xf numFmtId="177" fontId="1" fillId="0" borderId="0" xfId="54" applyNumberFormat="1" applyFont="1" applyFill="1" applyBorder="1" applyAlignment="1">
      <alignment/>
    </xf>
    <xf numFmtId="177" fontId="6" fillId="0" borderId="0" xfId="54" applyNumberFormat="1" applyFont="1" applyFill="1" applyBorder="1" applyAlignment="1">
      <alignment vertical="center"/>
    </xf>
    <xf numFmtId="177" fontId="2" fillId="0" borderId="0" xfId="54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10" fontId="6" fillId="0" borderId="0" xfId="54" applyNumberFormat="1" applyFont="1" applyFill="1" applyBorder="1" applyAlignment="1">
      <alignment vertical="center"/>
    </xf>
    <xf numFmtId="175" fontId="49" fillId="0" borderId="0" xfId="0" applyNumberFormat="1" applyFont="1" applyBorder="1" applyAlignment="1">
      <alignment vertical="center"/>
    </xf>
    <xf numFmtId="10" fontId="1" fillId="0" borderId="0" xfId="54" applyNumberFormat="1" applyFont="1" applyAlignment="1">
      <alignment vertical="center"/>
    </xf>
    <xf numFmtId="10" fontId="1" fillId="0" borderId="0" xfId="54" applyNumberFormat="1" applyFont="1" applyFill="1" applyAlignment="1">
      <alignment horizontal="right" vertical="center"/>
    </xf>
    <xf numFmtId="175" fontId="1" fillId="0" borderId="15" xfId="0" applyNumberFormat="1" applyFont="1" applyBorder="1" applyAlignment="1">
      <alignment vertical="center"/>
    </xf>
    <xf numFmtId="175" fontId="1" fillId="0" borderId="16" xfId="0" applyNumberFormat="1" applyFont="1" applyBorder="1" applyAlignment="1">
      <alignment vertical="center"/>
    </xf>
    <xf numFmtId="172" fontId="1" fillId="0" borderId="0" xfId="0" applyNumberFormat="1" applyFont="1" applyAlignment="1">
      <alignment/>
    </xf>
    <xf numFmtId="175" fontId="5" fillId="0" borderId="0" xfId="0" applyNumberFormat="1" applyFont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175" fontId="5" fillId="0" borderId="13" xfId="0" applyNumberFormat="1" applyFont="1" applyFill="1" applyBorder="1" applyAlignment="1">
      <alignment horizontal="left"/>
    </xf>
    <xf numFmtId="175" fontId="6" fillId="0" borderId="10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>
      <alignment horizontal="left"/>
    </xf>
    <xf numFmtId="9" fontId="2" fillId="0" borderId="0" xfId="0" applyNumberFormat="1" applyFont="1" applyAlignment="1">
      <alignment horizontal="center"/>
    </xf>
    <xf numFmtId="9" fontId="5" fillId="0" borderId="0" xfId="54" applyFont="1" applyAlignment="1">
      <alignment horizontal="right"/>
    </xf>
    <xf numFmtId="9" fontId="5" fillId="0" borderId="0" xfId="54" applyFont="1" applyAlignment="1">
      <alignment horizontal="left"/>
    </xf>
    <xf numFmtId="0" fontId="2" fillId="0" borderId="0" xfId="0" applyFont="1" applyFill="1" applyBorder="1" applyAlignment="1">
      <alignment/>
    </xf>
    <xf numFmtId="9" fontId="5" fillId="0" borderId="0" xfId="54" applyFont="1" applyFill="1" applyAlignment="1">
      <alignment horizontal="right"/>
    </xf>
    <xf numFmtId="9" fontId="5" fillId="0" borderId="0" xfId="54" applyFont="1" applyFill="1" applyBorder="1" applyAlignment="1">
      <alignment horizontal="right"/>
    </xf>
    <xf numFmtId="9" fontId="5" fillId="0" borderId="0" xfId="54" applyFont="1" applyBorder="1" applyAlignment="1">
      <alignment horizontal="right"/>
    </xf>
    <xf numFmtId="9" fontId="5" fillId="0" borderId="0" xfId="54" applyFont="1" applyBorder="1" applyAlignment="1">
      <alignment horizontal="left"/>
    </xf>
    <xf numFmtId="175" fontId="13" fillId="0" borderId="0" xfId="0" applyNumberFormat="1" applyFont="1" applyAlignment="1">
      <alignment/>
    </xf>
    <xf numFmtId="175" fontId="6" fillId="35" borderId="0" xfId="0" applyNumberFormat="1" applyFont="1" applyFill="1" applyBorder="1" applyAlignment="1">
      <alignment vertical="center"/>
    </xf>
    <xf numFmtId="175" fontId="1" fillId="0" borderId="0" xfId="54" applyNumberFormat="1" applyFont="1" applyFill="1" applyAlignment="1">
      <alignment horizontal="left"/>
    </xf>
    <xf numFmtId="10" fontId="1" fillId="0" borderId="0" xfId="54" applyNumberFormat="1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vertical="center"/>
    </xf>
    <xf numFmtId="175" fontId="6" fillId="0" borderId="0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00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175" fontId="49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175" fontId="13" fillId="0" borderId="0" xfId="0" applyNumberFormat="1" applyFont="1" applyFill="1" applyBorder="1" applyAlignment="1">
      <alignment/>
    </xf>
    <xf numFmtId="175" fontId="13" fillId="0" borderId="0" xfId="48" applyNumberFormat="1" applyFont="1" applyFill="1" applyBorder="1" applyAlignment="1">
      <alignment/>
    </xf>
    <xf numFmtId="175" fontId="49" fillId="0" borderId="0" xfId="48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175" fontId="13" fillId="0" borderId="0" xfId="54" applyNumberFormat="1" applyFont="1" applyFill="1" applyBorder="1" applyAlignment="1">
      <alignment/>
    </xf>
    <xf numFmtId="171" fontId="49" fillId="0" borderId="0" xfId="48" applyFont="1" applyFill="1" applyBorder="1" applyAlignment="1">
      <alignment/>
    </xf>
    <xf numFmtId="9" fontId="49" fillId="0" borderId="0" xfId="54" applyFont="1" applyFill="1" applyBorder="1" applyAlignment="1">
      <alignment/>
    </xf>
    <xf numFmtId="184" fontId="49" fillId="0" borderId="13" xfId="0" applyNumberFormat="1" applyFont="1" applyFill="1" applyBorder="1" applyAlignment="1">
      <alignment/>
    </xf>
    <xf numFmtId="0" fontId="13" fillId="35" borderId="12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8" borderId="12" xfId="0" applyFont="1" applyFill="1" applyBorder="1" applyAlignment="1">
      <alignment/>
    </xf>
    <xf numFmtId="0" fontId="49" fillId="38" borderId="0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175" fontId="49" fillId="35" borderId="0" xfId="54" applyNumberFormat="1" applyFont="1" applyFill="1" applyBorder="1" applyAlignment="1">
      <alignment/>
    </xf>
    <xf numFmtId="175" fontId="13" fillId="35" borderId="0" xfId="48" applyNumberFormat="1" applyFont="1" applyFill="1" applyBorder="1" applyAlignment="1">
      <alignment/>
    </xf>
    <xf numFmtId="175" fontId="49" fillId="0" borderId="0" xfId="54" applyNumberFormat="1" applyFont="1" applyFill="1" applyBorder="1" applyAlignment="1">
      <alignment/>
    </xf>
    <xf numFmtId="175" fontId="8" fillId="0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/>
    </xf>
    <xf numFmtId="0" fontId="13" fillId="0" borderId="15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175" fontId="49" fillId="35" borderId="0" xfId="0" applyNumberFormat="1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175" fontId="13" fillId="0" borderId="21" xfId="54" applyNumberFormat="1" applyFont="1" applyFill="1" applyBorder="1" applyAlignment="1">
      <alignment/>
    </xf>
    <xf numFmtId="175" fontId="49" fillId="0" borderId="21" xfId="0" applyNumberFormat="1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75" fontId="13" fillId="0" borderId="15" xfId="54" applyNumberFormat="1" applyFont="1" applyFill="1" applyBorder="1" applyAlignment="1">
      <alignment/>
    </xf>
    <xf numFmtId="175" fontId="13" fillId="0" borderId="15" xfId="48" applyNumberFormat="1" applyFont="1" applyFill="1" applyBorder="1" applyAlignment="1">
      <alignment/>
    </xf>
    <xf numFmtId="175" fontId="49" fillId="0" borderId="15" xfId="48" applyNumberFormat="1" applyFont="1" applyFill="1" applyBorder="1" applyAlignment="1">
      <alignment/>
    </xf>
    <xf numFmtId="175" fontId="49" fillId="0" borderId="0" xfId="48" applyNumberFormat="1" applyFont="1" applyFill="1" applyBorder="1" applyAlignment="1">
      <alignment horizontal="left"/>
    </xf>
    <xf numFmtId="175" fontId="5" fillId="39" borderId="0" xfId="0" applyNumberFormat="1" applyFont="1" applyFill="1" applyBorder="1" applyAlignment="1">
      <alignment vertical="center"/>
    </xf>
    <xf numFmtId="175" fontId="5" fillId="39" borderId="0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75" fontId="8" fillId="39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5" fontId="5" fillId="17" borderId="0" xfId="0" applyNumberFormat="1" applyFont="1" applyFill="1" applyBorder="1" applyAlignment="1">
      <alignment vertical="center"/>
    </xf>
    <xf numFmtId="175" fontId="5" fillId="17" borderId="0" xfId="0" applyNumberFormat="1" applyFont="1" applyFill="1" applyBorder="1" applyAlignment="1">
      <alignment/>
    </xf>
    <xf numFmtId="9" fontId="5" fillId="0" borderId="0" xfId="54" applyFont="1" applyAlignment="1">
      <alignment/>
    </xf>
    <xf numFmtId="175" fontId="5" fillId="17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Alignment="1">
      <alignment/>
    </xf>
    <xf numFmtId="175" fontId="5" fillId="17" borderId="0" xfId="0" applyNumberFormat="1" applyFont="1" applyFill="1" applyAlignment="1">
      <alignment vertical="center"/>
    </xf>
    <xf numFmtId="172" fontId="6" fillId="35" borderId="17" xfId="0" applyNumberFormat="1" applyFont="1" applyFill="1" applyBorder="1" applyAlignment="1">
      <alignment/>
    </xf>
    <xf numFmtId="172" fontId="6" fillId="35" borderId="18" xfId="0" applyNumberFormat="1" applyFont="1" applyFill="1" applyBorder="1" applyAlignment="1">
      <alignment/>
    </xf>
    <xf numFmtId="172" fontId="6" fillId="35" borderId="19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/>
    </xf>
    <xf numFmtId="0" fontId="6" fillId="35" borderId="19" xfId="0" applyFont="1" applyFill="1" applyBorder="1" applyAlignment="1">
      <alignment/>
    </xf>
    <xf numFmtId="176" fontId="8" fillId="17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3" fontId="1" fillId="0" borderId="24" xfId="0" applyNumberFormat="1" applyFont="1" applyFill="1" applyBorder="1" applyAlignment="1">
      <alignment horizontal="right" vertical="center"/>
    </xf>
    <xf numFmtId="175" fontId="8" fillId="17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vertical="center"/>
    </xf>
    <xf numFmtId="175" fontId="8" fillId="17" borderId="0" xfId="0" applyNumberFormat="1" applyFont="1" applyFill="1" applyBorder="1" applyAlignment="1">
      <alignment horizontal="right" vertical="center"/>
    </xf>
    <xf numFmtId="175" fontId="6" fillId="35" borderId="17" xfId="0" applyNumberFormat="1" applyFont="1" applyFill="1" applyBorder="1" applyAlignment="1">
      <alignment/>
    </xf>
    <xf numFmtId="175" fontId="5" fillId="35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177" fontId="2" fillId="0" borderId="0" xfId="54" applyNumberFormat="1" applyFont="1" applyBorder="1" applyAlignment="1">
      <alignment/>
    </xf>
    <xf numFmtId="175" fontId="5" fillId="17" borderId="0" xfId="0" applyNumberFormat="1" applyFont="1" applyFill="1" applyBorder="1" applyAlignment="1">
      <alignment horizontal="right"/>
    </xf>
    <xf numFmtId="9" fontId="13" fillId="35" borderId="0" xfId="0" applyNumberFormat="1" applyFont="1" applyFill="1" applyBorder="1" applyAlignment="1">
      <alignment vertical="center"/>
    </xf>
    <xf numFmtId="177" fontId="5" fillId="0" borderId="0" xfId="54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175" fontId="2" fillId="0" borderId="0" xfId="0" applyNumberFormat="1" applyFont="1" applyFill="1" applyAlignment="1">
      <alignment horizontal="left" vertical="center"/>
    </xf>
    <xf numFmtId="175" fontId="2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49" fillId="40" borderId="17" xfId="0" applyFont="1" applyFill="1" applyBorder="1" applyAlignment="1">
      <alignment/>
    </xf>
    <xf numFmtId="0" fontId="49" fillId="40" borderId="18" xfId="0" applyFont="1" applyFill="1" applyBorder="1" applyAlignment="1">
      <alignment/>
    </xf>
    <xf numFmtId="0" fontId="13" fillId="40" borderId="18" xfId="0" applyFont="1" applyFill="1" applyBorder="1" applyAlignment="1">
      <alignment/>
    </xf>
    <xf numFmtId="175" fontId="13" fillId="40" borderId="18" xfId="0" applyNumberFormat="1" applyFont="1" applyFill="1" applyBorder="1" applyAlignment="1">
      <alignment/>
    </xf>
    <xf numFmtId="175" fontId="13" fillId="40" borderId="18" xfId="48" applyNumberFormat="1" applyFont="1" applyFill="1" applyBorder="1" applyAlignment="1">
      <alignment/>
    </xf>
    <xf numFmtId="175" fontId="49" fillId="40" borderId="18" xfId="48" applyNumberFormat="1" applyFont="1" applyFill="1" applyBorder="1" applyAlignment="1">
      <alignment/>
    </xf>
    <xf numFmtId="0" fontId="49" fillId="40" borderId="19" xfId="0" applyFont="1" applyFill="1" applyBorder="1" applyAlignment="1">
      <alignment/>
    </xf>
    <xf numFmtId="0" fontId="49" fillId="41" borderId="17" xfId="0" applyFont="1" applyFill="1" applyBorder="1" applyAlignment="1">
      <alignment/>
    </xf>
    <xf numFmtId="0" fontId="49" fillId="41" borderId="18" xfId="0" applyFont="1" applyFill="1" applyBorder="1" applyAlignment="1">
      <alignment/>
    </xf>
    <xf numFmtId="0" fontId="13" fillId="41" borderId="18" xfId="0" applyFont="1" applyFill="1" applyBorder="1" applyAlignment="1">
      <alignment/>
    </xf>
    <xf numFmtId="175" fontId="13" fillId="41" borderId="18" xfId="0" applyNumberFormat="1" applyFont="1" applyFill="1" applyBorder="1" applyAlignment="1">
      <alignment/>
    </xf>
    <xf numFmtId="175" fontId="13" fillId="41" borderId="18" xfId="48" applyNumberFormat="1" applyFont="1" applyFill="1" applyBorder="1" applyAlignment="1">
      <alignment/>
    </xf>
    <xf numFmtId="175" fontId="49" fillId="41" borderId="18" xfId="48" applyNumberFormat="1" applyFont="1" applyFill="1" applyBorder="1" applyAlignment="1">
      <alignment/>
    </xf>
    <xf numFmtId="0" fontId="49" fillId="41" borderId="19" xfId="0" applyFont="1" applyFill="1" applyBorder="1" applyAlignment="1">
      <alignment/>
    </xf>
    <xf numFmtId="175" fontId="49" fillId="40" borderId="18" xfId="0" applyNumberFormat="1" applyFont="1" applyFill="1" applyBorder="1" applyAlignment="1">
      <alignment/>
    </xf>
    <xf numFmtId="0" fontId="54" fillId="42" borderId="20" xfId="0" applyFont="1" applyFill="1" applyBorder="1" applyAlignment="1">
      <alignment/>
    </xf>
    <xf numFmtId="0" fontId="54" fillId="42" borderId="21" xfId="0" applyFont="1" applyFill="1" applyBorder="1" applyAlignment="1">
      <alignment/>
    </xf>
    <xf numFmtId="175" fontId="54" fillId="42" borderId="21" xfId="48" applyNumberFormat="1" applyFont="1" applyFill="1" applyBorder="1" applyAlignment="1">
      <alignment/>
    </xf>
    <xf numFmtId="175" fontId="54" fillId="42" borderId="11" xfId="0" applyNumberFormat="1" applyFont="1" applyFill="1" applyBorder="1" applyAlignment="1">
      <alignment/>
    </xf>
    <xf numFmtId="175" fontId="13" fillId="40" borderId="18" xfId="54" applyNumberFormat="1" applyFont="1" applyFill="1" applyBorder="1" applyAlignment="1">
      <alignment/>
    </xf>
    <xf numFmtId="175" fontId="49" fillId="40" borderId="19" xfId="0" applyNumberFormat="1" applyFont="1" applyFill="1" applyBorder="1" applyAlignment="1">
      <alignment/>
    </xf>
    <xf numFmtId="175" fontId="13" fillId="41" borderId="18" xfId="54" applyNumberFormat="1" applyFont="1" applyFill="1" applyBorder="1" applyAlignment="1">
      <alignment/>
    </xf>
    <xf numFmtId="175" fontId="49" fillId="41" borderId="18" xfId="0" applyNumberFormat="1" applyFont="1" applyFill="1" applyBorder="1" applyAlignment="1">
      <alignment/>
    </xf>
    <xf numFmtId="175" fontId="13" fillId="41" borderId="19" xfId="54" applyNumberFormat="1" applyFont="1" applyFill="1" applyBorder="1" applyAlignment="1">
      <alignment/>
    </xf>
    <xf numFmtId="175" fontId="13" fillId="0" borderId="21" xfId="48" applyNumberFormat="1" applyFont="1" applyFill="1" applyBorder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 horizontal="center"/>
    </xf>
    <xf numFmtId="0" fontId="101" fillId="43" borderId="12" xfId="0" applyFont="1" applyFill="1" applyBorder="1" applyAlignment="1">
      <alignment/>
    </xf>
    <xf numFmtId="0" fontId="101" fillId="43" borderId="0" xfId="0" applyFont="1" applyFill="1" applyBorder="1" applyAlignment="1">
      <alignment/>
    </xf>
    <xf numFmtId="0" fontId="102" fillId="43" borderId="0" xfId="0" applyFont="1" applyFill="1" applyBorder="1" applyAlignment="1">
      <alignment/>
    </xf>
    <xf numFmtId="175" fontId="102" fillId="43" borderId="0" xfId="0" applyNumberFormat="1" applyFont="1" applyFill="1" applyBorder="1" applyAlignment="1">
      <alignment/>
    </xf>
    <xf numFmtId="175" fontId="102" fillId="43" borderId="0" xfId="48" applyNumberFormat="1" applyFont="1" applyFill="1" applyBorder="1" applyAlignment="1">
      <alignment/>
    </xf>
    <xf numFmtId="175" fontId="101" fillId="43" borderId="0" xfId="48" applyNumberFormat="1" applyFont="1" applyFill="1" applyBorder="1" applyAlignment="1">
      <alignment/>
    </xf>
    <xf numFmtId="175" fontId="101" fillId="43" borderId="0" xfId="0" applyNumberFormat="1" applyFont="1" applyFill="1" applyBorder="1" applyAlignment="1">
      <alignment/>
    </xf>
    <xf numFmtId="0" fontId="101" fillId="43" borderId="13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2" fillId="32" borderId="0" xfId="0" applyFont="1" applyFill="1" applyBorder="1" applyAlignment="1">
      <alignment/>
    </xf>
    <xf numFmtId="0" fontId="101" fillId="43" borderId="17" xfId="0" applyFont="1" applyFill="1" applyBorder="1" applyAlignment="1">
      <alignment/>
    </xf>
    <xf numFmtId="0" fontId="101" fillId="43" borderId="18" xfId="0" applyFont="1" applyFill="1" applyBorder="1" applyAlignment="1">
      <alignment/>
    </xf>
    <xf numFmtId="0" fontId="102" fillId="43" borderId="18" xfId="0" applyFont="1" applyFill="1" applyBorder="1" applyAlignment="1">
      <alignment/>
    </xf>
    <xf numFmtId="175" fontId="102" fillId="43" borderId="18" xfId="54" applyNumberFormat="1" applyFont="1" applyFill="1" applyBorder="1" applyAlignment="1">
      <alignment/>
    </xf>
    <xf numFmtId="175" fontId="102" fillId="43" borderId="18" xfId="48" applyNumberFormat="1" applyFont="1" applyFill="1" applyBorder="1" applyAlignment="1">
      <alignment/>
    </xf>
    <xf numFmtId="175" fontId="101" fillId="43" borderId="18" xfId="48" applyNumberFormat="1" applyFont="1" applyFill="1" applyBorder="1" applyAlignment="1">
      <alignment/>
    </xf>
    <xf numFmtId="175" fontId="101" fillId="43" borderId="18" xfId="0" applyNumberFormat="1" applyFont="1" applyFill="1" applyBorder="1" applyAlignment="1">
      <alignment/>
    </xf>
    <xf numFmtId="0" fontId="101" fillId="43" borderId="19" xfId="0" applyFont="1" applyFill="1" applyBorder="1" applyAlignment="1">
      <alignment/>
    </xf>
    <xf numFmtId="0" fontId="102" fillId="0" borderId="0" xfId="0" applyFont="1" applyBorder="1" applyAlignment="1">
      <alignment/>
    </xf>
    <xf numFmtId="0" fontId="101" fillId="43" borderId="14" xfId="0" applyFont="1" applyFill="1" applyBorder="1" applyAlignment="1">
      <alignment/>
    </xf>
    <xf numFmtId="0" fontId="101" fillId="43" borderId="15" xfId="0" applyFont="1" applyFill="1" applyBorder="1" applyAlignment="1">
      <alignment/>
    </xf>
    <xf numFmtId="174" fontId="101" fillId="43" borderId="15" xfId="48" applyNumberFormat="1" applyFont="1" applyFill="1" applyBorder="1" applyAlignment="1">
      <alignment/>
    </xf>
    <xf numFmtId="175" fontId="101" fillId="43" borderId="15" xfId="54" applyNumberFormat="1" applyFont="1" applyFill="1" applyBorder="1" applyAlignment="1">
      <alignment/>
    </xf>
    <xf numFmtId="175" fontId="101" fillId="43" borderId="15" xfId="48" applyNumberFormat="1" applyFont="1" applyFill="1" applyBorder="1" applyAlignment="1">
      <alignment/>
    </xf>
    <xf numFmtId="175" fontId="101" fillId="43" borderId="15" xfId="0" applyNumberFormat="1" applyFont="1" applyFill="1" applyBorder="1" applyAlignment="1">
      <alignment/>
    </xf>
    <xf numFmtId="175" fontId="101" fillId="43" borderId="16" xfId="0" applyNumberFormat="1" applyFont="1" applyFill="1" applyBorder="1" applyAlignment="1">
      <alignment/>
    </xf>
    <xf numFmtId="175" fontId="2" fillId="0" borderId="0" xfId="0" applyNumberFormat="1" applyFont="1" applyFill="1" applyAlignment="1">
      <alignment horizontal="left"/>
    </xf>
    <xf numFmtId="0" fontId="56" fillId="0" borderId="20" xfId="0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175" fontId="56" fillId="0" borderId="21" xfId="0" applyNumberFormat="1" applyFont="1" applyFill="1" applyBorder="1" applyAlignment="1">
      <alignment vertical="center"/>
    </xf>
    <xf numFmtId="175" fontId="56" fillId="0" borderId="11" xfId="0" applyNumberFormat="1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175" fontId="56" fillId="0" borderId="0" xfId="0" applyNumberFormat="1" applyFont="1" applyFill="1" applyBorder="1" applyAlignment="1">
      <alignment vertical="center"/>
    </xf>
    <xf numFmtId="175" fontId="56" fillId="0" borderId="13" xfId="0" applyNumberFormat="1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175" fontId="56" fillId="0" borderId="0" xfId="0" applyNumberFormat="1" applyFont="1" applyFill="1" applyBorder="1" applyAlignment="1">
      <alignment horizontal="right" vertical="center"/>
    </xf>
    <xf numFmtId="49" fontId="56" fillId="0" borderId="13" xfId="0" applyNumberFormat="1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175" fontId="56" fillId="0" borderId="15" xfId="0" applyNumberFormat="1" applyFont="1" applyFill="1" applyBorder="1" applyAlignment="1">
      <alignment vertical="center"/>
    </xf>
    <xf numFmtId="175" fontId="56" fillId="0" borderId="16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72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15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vertical="center"/>
    </xf>
    <xf numFmtId="172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172" fontId="6" fillId="32" borderId="17" xfId="0" applyNumberFormat="1" applyFont="1" applyFill="1" applyBorder="1" applyAlignment="1">
      <alignment horizontal="center" vertical="center"/>
    </xf>
    <xf numFmtId="172" fontId="6" fillId="32" borderId="19" xfId="0" applyNumberFormat="1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18" borderId="17" xfId="0" applyFont="1" applyFill="1" applyBorder="1" applyAlignment="1">
      <alignment horizontal="center" vertical="center"/>
    </xf>
    <xf numFmtId="0" fontId="6" fillId="18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44" fontId="6" fillId="3" borderId="17" xfId="0" applyNumberFormat="1" applyFont="1" applyFill="1" applyBorder="1" applyAlignment="1">
      <alignment horizontal="center" vertical="center"/>
    </xf>
    <xf numFmtId="44" fontId="6" fillId="3" borderId="19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54" fillId="42" borderId="21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4"/>
  <sheetViews>
    <sheetView zoomScaleSheetLayoutView="100" workbookViewId="0" topLeftCell="A1">
      <selection activeCell="B233" sqref="B233"/>
    </sheetView>
  </sheetViews>
  <sheetFormatPr defaultColWidth="11.421875" defaultRowHeight="12.75"/>
  <cols>
    <col min="1" max="1" width="9.7109375" style="4" customWidth="1"/>
    <col min="2" max="2" width="46.7109375" style="41" customWidth="1"/>
    <col min="3" max="3" width="12.7109375" style="41" customWidth="1"/>
    <col min="4" max="4" width="10.7109375" style="42" customWidth="1"/>
    <col min="5" max="5" width="13.7109375" style="43" customWidth="1"/>
    <col min="6" max="6" width="18.7109375" style="129" customWidth="1"/>
    <col min="7" max="16384" width="11.421875" style="4" customWidth="1"/>
  </cols>
  <sheetData>
    <row r="1" spans="1:6" s="2" customFormat="1" ht="13.5" customHeight="1">
      <c r="A1" s="6" t="s">
        <v>85</v>
      </c>
      <c r="B1" s="15"/>
      <c r="C1" s="15"/>
      <c r="D1" s="16"/>
      <c r="E1" s="17"/>
      <c r="F1" s="131"/>
    </row>
    <row r="2" spans="1:6" s="2" customFormat="1" ht="13.5" customHeight="1">
      <c r="A2" s="1"/>
      <c r="B2" s="15"/>
      <c r="C2" s="15"/>
      <c r="D2" s="16"/>
      <c r="E2" s="18"/>
      <c r="F2" s="131"/>
    </row>
    <row r="3" spans="1:5" ht="13.5" customHeight="1" thickBot="1">
      <c r="A3" s="3"/>
      <c r="B3" s="19"/>
      <c r="C3" s="19"/>
      <c r="D3" s="20"/>
      <c r="E3" s="21"/>
    </row>
    <row r="4" spans="1:6" ht="13.5" customHeight="1">
      <c r="A4" s="64" t="s">
        <v>1367</v>
      </c>
      <c r="B4" s="65"/>
      <c r="C4" s="66"/>
      <c r="D4" s="67" t="s">
        <v>6</v>
      </c>
      <c r="E4" s="44">
        <v>1001</v>
      </c>
      <c r="F4" s="128"/>
    </row>
    <row r="5" spans="1:6" ht="13.5" customHeight="1" thickBot="1">
      <c r="A5" s="49"/>
      <c r="B5" s="119" t="s">
        <v>136</v>
      </c>
      <c r="C5" s="136"/>
      <c r="D5" s="121"/>
      <c r="E5" s="120"/>
      <c r="F5" s="128"/>
    </row>
    <row r="6" spans="1:6" ht="13.5" customHeight="1">
      <c r="A6" s="64" t="s">
        <v>163</v>
      </c>
      <c r="B6" s="156"/>
      <c r="C6" s="156"/>
      <c r="D6" s="157"/>
      <c r="E6" s="158"/>
      <c r="F6" s="128"/>
    </row>
    <row r="7" spans="1:6" ht="13.5" customHeight="1">
      <c r="A7" s="45" t="s">
        <v>80</v>
      </c>
      <c r="B7" s="46"/>
      <c r="C7" s="46"/>
      <c r="D7" s="47"/>
      <c r="E7" s="48"/>
      <c r="F7" s="128"/>
    </row>
    <row r="8" spans="1:6" ht="13.5" customHeight="1">
      <c r="A8" s="45" t="s">
        <v>81</v>
      </c>
      <c r="B8" s="46"/>
      <c r="C8" s="46"/>
      <c r="D8" s="47"/>
      <c r="E8" s="48"/>
      <c r="F8" s="850"/>
    </row>
    <row r="9" spans="1:6" ht="13.5" customHeight="1">
      <c r="A9" s="45" t="s">
        <v>82</v>
      </c>
      <c r="B9" s="46"/>
      <c r="C9" s="46"/>
      <c r="D9" s="47"/>
      <c r="E9" s="48"/>
      <c r="F9" s="128"/>
    </row>
    <row r="10" spans="1:6" ht="13.5" customHeight="1">
      <c r="A10" s="45" t="s">
        <v>22</v>
      </c>
      <c r="B10" s="46"/>
      <c r="C10" s="46"/>
      <c r="D10" s="47"/>
      <c r="E10" s="48"/>
      <c r="F10" s="128"/>
    </row>
    <row r="11" spans="1:6" s="155" customFormat="1" ht="13.5" customHeight="1">
      <c r="A11" s="45" t="s">
        <v>164</v>
      </c>
      <c r="B11" s="46"/>
      <c r="C11" s="46"/>
      <c r="D11" s="47"/>
      <c r="E11" s="48"/>
      <c r="F11" s="154"/>
    </row>
    <row r="12" spans="1:6" s="155" customFormat="1" ht="13.5" customHeight="1" thickBot="1">
      <c r="A12" s="49" t="s">
        <v>165</v>
      </c>
      <c r="B12" s="851"/>
      <c r="C12" s="851"/>
      <c r="D12" s="50"/>
      <c r="E12" s="51"/>
      <c r="F12" s="154"/>
    </row>
    <row r="13" spans="1:6" s="7" customFormat="1" ht="13.5" customHeight="1">
      <c r="A13" s="52" t="s">
        <v>1365</v>
      </c>
      <c r="B13" s="33"/>
      <c r="C13" s="33"/>
      <c r="D13" s="34"/>
      <c r="E13" s="53"/>
      <c r="F13" s="128"/>
    </row>
    <row r="14" spans="1:6" s="7" customFormat="1" ht="13.5" customHeight="1">
      <c r="A14" s="52" t="s">
        <v>10</v>
      </c>
      <c r="B14" s="33"/>
      <c r="C14" s="33"/>
      <c r="D14" s="34"/>
      <c r="E14" s="53"/>
      <c r="F14" s="128"/>
    </row>
    <row r="15" spans="1:6" s="7" customFormat="1" ht="13.5" customHeight="1">
      <c r="A15" s="52" t="s">
        <v>1430</v>
      </c>
      <c r="B15" s="33"/>
      <c r="C15" s="33"/>
      <c r="D15" s="34"/>
      <c r="E15" s="53"/>
      <c r="F15" s="128"/>
    </row>
    <row r="16" spans="1:6" s="7" customFormat="1" ht="13.5" customHeight="1" thickBot="1">
      <c r="A16" s="52" t="s">
        <v>11</v>
      </c>
      <c r="B16" s="33"/>
      <c r="C16" s="33"/>
      <c r="D16" s="34"/>
      <c r="E16" s="53"/>
      <c r="F16" s="128"/>
    </row>
    <row r="17" spans="1:6" s="8" customFormat="1" ht="13.5" customHeight="1" thickBot="1">
      <c r="A17" s="54" t="s">
        <v>0</v>
      </c>
      <c r="B17" s="55"/>
      <c r="C17" s="55"/>
      <c r="D17" s="56"/>
      <c r="E17" s="56">
        <f>+C19+C42+C59+C76</f>
        <v>19960741</v>
      </c>
      <c r="F17" s="128"/>
    </row>
    <row r="18" spans="1:5" ht="13.5" customHeight="1" thickBot="1">
      <c r="A18" s="5"/>
      <c r="B18" s="22"/>
      <c r="C18" s="22"/>
      <c r="D18" s="20"/>
      <c r="E18" s="58"/>
    </row>
    <row r="19" spans="1:6" s="9" customFormat="1" ht="12.75" customHeight="1" thickBot="1">
      <c r="A19" s="945" t="s">
        <v>1</v>
      </c>
      <c r="B19" s="946"/>
      <c r="C19" s="40">
        <f>C34+C27+C20</f>
        <v>14787508</v>
      </c>
      <c r="D19" s="23"/>
      <c r="E19" s="151"/>
      <c r="F19" s="132"/>
    </row>
    <row r="20" spans="1:6" s="57" customFormat="1" ht="12.75" customHeight="1">
      <c r="A20" s="12" t="s">
        <v>107</v>
      </c>
      <c r="B20" s="286" t="s">
        <v>108</v>
      </c>
      <c r="C20" s="33">
        <f>SUM(C21:C26)</f>
        <v>4778015</v>
      </c>
      <c r="D20" s="23"/>
      <c r="E20" s="25"/>
      <c r="F20" s="135"/>
    </row>
    <row r="21" spans="1:6" s="9" customFormat="1" ht="12.75" customHeight="1" hidden="1">
      <c r="A21" s="13" t="s">
        <v>27</v>
      </c>
      <c r="B21" s="25" t="s">
        <v>24</v>
      </c>
      <c r="C21" s="821">
        <v>3523664</v>
      </c>
      <c r="D21" s="23"/>
      <c r="E21" s="26"/>
      <c r="F21" s="132"/>
    </row>
    <row r="22" spans="1:6" s="9" customFormat="1" ht="12.75" customHeight="1" hidden="1">
      <c r="A22" s="13" t="s">
        <v>28</v>
      </c>
      <c r="B22" s="25" t="s">
        <v>26</v>
      </c>
      <c r="C22" s="821">
        <f>688180+154841</f>
        <v>843021</v>
      </c>
      <c r="D22" s="23"/>
      <c r="E22" s="26"/>
      <c r="F22" s="132"/>
    </row>
    <row r="23" spans="1:6" s="10" customFormat="1" ht="12.75" customHeight="1" hidden="1">
      <c r="A23" s="13" t="s">
        <v>29</v>
      </c>
      <c r="B23" s="25" t="s">
        <v>86</v>
      </c>
      <c r="C23" s="821">
        <f>25000+146810+3851</f>
        <v>175661</v>
      </c>
      <c r="D23" s="23"/>
      <c r="E23" s="26"/>
      <c r="F23" s="132"/>
    </row>
    <row r="24" spans="1:6" s="10" customFormat="1" ht="12.75" customHeight="1" hidden="1">
      <c r="A24" s="13" t="s">
        <v>30</v>
      </c>
      <c r="B24" s="25" t="s">
        <v>87</v>
      </c>
      <c r="C24" s="821">
        <v>1</v>
      </c>
      <c r="D24" s="23"/>
      <c r="E24" s="26"/>
      <c r="F24" s="132"/>
    </row>
    <row r="25" spans="1:6" s="10" customFormat="1" ht="12.75" customHeight="1" hidden="1">
      <c r="A25" s="13" t="s">
        <v>31</v>
      </c>
      <c r="B25" s="25" t="s">
        <v>25</v>
      </c>
      <c r="C25" s="821">
        <f>1756+60676</f>
        <v>62432</v>
      </c>
      <c r="D25" s="23"/>
      <c r="E25" s="26"/>
      <c r="F25" s="132"/>
    </row>
    <row r="26" spans="1:6" s="10" customFormat="1" ht="12.75" customHeight="1" hidden="1">
      <c r="A26" s="13" t="s">
        <v>32</v>
      </c>
      <c r="B26" s="25" t="s">
        <v>23</v>
      </c>
      <c r="C26" s="821">
        <f>92696.96+80538.28+0.76</f>
        <v>173236</v>
      </c>
      <c r="D26" s="23"/>
      <c r="E26" s="26"/>
      <c r="F26" s="132"/>
    </row>
    <row r="27" spans="1:6" s="10" customFormat="1" ht="12.75" customHeight="1">
      <c r="A27" s="12" t="s">
        <v>109</v>
      </c>
      <c r="B27" s="33" t="s">
        <v>110</v>
      </c>
      <c r="C27" s="33">
        <f>SUM(C28:C33)</f>
        <v>7500326</v>
      </c>
      <c r="D27" s="23"/>
      <c r="E27" s="26"/>
      <c r="F27" s="132"/>
    </row>
    <row r="28" spans="1:6" s="10" customFormat="1" ht="12.75" customHeight="1" hidden="1">
      <c r="A28" s="13" t="s">
        <v>34</v>
      </c>
      <c r="B28" s="25" t="s">
        <v>88</v>
      </c>
      <c r="C28" s="821">
        <v>5810397</v>
      </c>
      <c r="D28" s="23"/>
      <c r="E28" s="26"/>
      <c r="F28" s="133"/>
    </row>
    <row r="29" spans="1:8" s="9" customFormat="1" ht="12.75" customHeight="1" hidden="1">
      <c r="A29" s="13" t="s">
        <v>35</v>
      </c>
      <c r="B29" s="25" t="s">
        <v>89</v>
      </c>
      <c r="C29" s="821">
        <f>1145148+280676</f>
        <v>1425824</v>
      </c>
      <c r="D29" s="23"/>
      <c r="E29" s="26"/>
      <c r="F29" s="70"/>
      <c r="G29" s="57"/>
      <c r="H29" s="57"/>
    </row>
    <row r="30" spans="1:6" s="9" customFormat="1" ht="12.75" customHeight="1" hidden="1">
      <c r="A30" s="13" t="s">
        <v>36</v>
      </c>
      <c r="B30" s="25" t="s">
        <v>90</v>
      </c>
      <c r="C30" s="821">
        <f>259701+4401</f>
        <v>264102</v>
      </c>
      <c r="D30" s="23"/>
      <c r="E30" s="26"/>
      <c r="F30" s="132"/>
    </row>
    <row r="31" spans="1:6" s="10" customFormat="1" ht="12.75" customHeight="1" hidden="1">
      <c r="A31" s="13" t="s">
        <v>37</v>
      </c>
      <c r="B31" s="25" t="s">
        <v>91</v>
      </c>
      <c r="C31" s="821">
        <v>1</v>
      </c>
      <c r="D31" s="23"/>
      <c r="E31" s="26"/>
      <c r="F31" s="132"/>
    </row>
    <row r="32" spans="1:6" s="10" customFormat="1" ht="12.75" customHeight="1" hidden="1">
      <c r="A32" s="13" t="s">
        <v>38</v>
      </c>
      <c r="B32" s="25" t="s">
        <v>33</v>
      </c>
      <c r="C32" s="821">
        <v>1</v>
      </c>
      <c r="D32" s="23"/>
      <c r="E32" s="26"/>
      <c r="F32" s="132"/>
    </row>
    <row r="33" spans="1:6" s="10" customFormat="1" ht="12.75" customHeight="1" hidden="1">
      <c r="A33" s="13" t="s">
        <v>93</v>
      </c>
      <c r="B33" s="25" t="s">
        <v>92</v>
      </c>
      <c r="C33" s="821">
        <v>1</v>
      </c>
      <c r="D33" s="23"/>
      <c r="E33" s="26"/>
      <c r="F33" s="133"/>
    </row>
    <row r="34" spans="1:6" s="10" customFormat="1" ht="12.75" customHeight="1">
      <c r="A34" s="12" t="s">
        <v>111</v>
      </c>
      <c r="B34" s="33" t="s">
        <v>112</v>
      </c>
      <c r="C34" s="33">
        <f>SUM(C35:C40)</f>
        <v>2509167</v>
      </c>
      <c r="D34" s="23"/>
      <c r="E34" s="26"/>
      <c r="F34" s="133"/>
    </row>
    <row r="35" spans="1:6" s="9" customFormat="1" ht="12.75" customHeight="1" hidden="1">
      <c r="A35" s="13" t="s">
        <v>43</v>
      </c>
      <c r="B35" s="25" t="s">
        <v>39</v>
      </c>
      <c r="C35" s="821">
        <v>1894397</v>
      </c>
      <c r="D35" s="23"/>
      <c r="E35" s="26"/>
      <c r="F35" s="132"/>
    </row>
    <row r="36" spans="1:6" s="9" customFormat="1" ht="12.75" customHeight="1" hidden="1">
      <c r="A36" s="13" t="s">
        <v>44</v>
      </c>
      <c r="B36" s="25" t="s">
        <v>41</v>
      </c>
      <c r="C36" s="821">
        <f>372275+83762</f>
        <v>456037</v>
      </c>
      <c r="D36" s="23"/>
      <c r="E36" s="26"/>
      <c r="F36" s="132"/>
    </row>
    <row r="37" spans="1:6" s="10" customFormat="1" ht="12.75" customHeight="1" hidden="1">
      <c r="A37" s="13" t="s">
        <v>45</v>
      </c>
      <c r="B37" s="25" t="s">
        <v>94</v>
      </c>
      <c r="C37" s="821">
        <f>79023+4676</f>
        <v>83699</v>
      </c>
      <c r="D37" s="23"/>
      <c r="E37" s="26"/>
      <c r="F37" s="132"/>
    </row>
    <row r="38" spans="1:6" s="10" customFormat="1" ht="12.75" customHeight="1" hidden="1">
      <c r="A38" s="13" t="s">
        <v>46</v>
      </c>
      <c r="B38" s="25" t="s">
        <v>95</v>
      </c>
      <c r="C38" s="821">
        <v>1</v>
      </c>
      <c r="D38" s="23"/>
      <c r="E38" s="26"/>
      <c r="F38" s="132"/>
    </row>
    <row r="39" spans="1:6" s="10" customFormat="1" ht="12.75" customHeight="1" hidden="1">
      <c r="A39" s="13" t="s">
        <v>47</v>
      </c>
      <c r="B39" s="25" t="s">
        <v>40</v>
      </c>
      <c r="C39" s="821">
        <f>700+74332</f>
        <v>75032</v>
      </c>
      <c r="D39" s="23"/>
      <c r="E39" s="26"/>
      <c r="F39" s="132"/>
    </row>
    <row r="40" spans="1:6" s="10" customFormat="1" ht="12.75" customHeight="1" hidden="1">
      <c r="A40" s="13" t="s">
        <v>48</v>
      </c>
      <c r="B40" s="25" t="s">
        <v>42</v>
      </c>
      <c r="C40" s="821">
        <v>1</v>
      </c>
      <c r="D40" s="23"/>
      <c r="E40" s="26"/>
      <c r="F40" s="132"/>
    </row>
    <row r="41" spans="1:6" s="10" customFormat="1" ht="12.75" customHeight="1" thickBot="1">
      <c r="A41" s="13"/>
      <c r="B41" s="25"/>
      <c r="C41" s="25"/>
      <c r="D41" s="23"/>
      <c r="E41" s="26"/>
      <c r="F41" s="132"/>
    </row>
    <row r="42" spans="1:9" s="9" customFormat="1" ht="13.5" customHeight="1" thickBot="1">
      <c r="A42" s="947" t="s">
        <v>2</v>
      </c>
      <c r="B42" s="948"/>
      <c r="C42" s="38">
        <f>C43+C45+C48+C50+C52+C54</f>
        <v>312270</v>
      </c>
      <c r="D42" s="115"/>
      <c r="E42" s="26"/>
      <c r="F42" s="135"/>
      <c r="G42" s="71"/>
      <c r="H42" s="57"/>
      <c r="I42" s="123"/>
    </row>
    <row r="43" spans="1:9" s="57" customFormat="1" ht="13.5" customHeight="1">
      <c r="A43" s="12" t="s">
        <v>113</v>
      </c>
      <c r="B43" s="286" t="s">
        <v>114</v>
      </c>
      <c r="C43" s="33">
        <f>SUM(C44)</f>
        <v>148350</v>
      </c>
      <c r="D43" s="23"/>
      <c r="E43" s="25"/>
      <c r="F43" s="135"/>
      <c r="G43" s="71"/>
      <c r="I43" s="71"/>
    </row>
    <row r="44" spans="1:7" s="57" customFormat="1" ht="13.5" customHeight="1" hidden="1">
      <c r="A44" s="13" t="s">
        <v>50</v>
      </c>
      <c r="B44" s="9" t="s">
        <v>49</v>
      </c>
      <c r="C44" s="821">
        <f>168350-20000</f>
        <v>148350</v>
      </c>
      <c r="E44" s="33"/>
      <c r="F44" s="137"/>
      <c r="G44" s="71"/>
    </row>
    <row r="45" spans="1:7" s="57" customFormat="1" ht="13.5" customHeight="1">
      <c r="A45" s="12" t="s">
        <v>115</v>
      </c>
      <c r="B45" s="791" t="s">
        <v>116</v>
      </c>
      <c r="C45" s="33">
        <f>SUM(C46:C47)</f>
        <v>62340</v>
      </c>
      <c r="E45" s="33"/>
      <c r="F45" s="137"/>
      <c r="G45" s="71"/>
    </row>
    <row r="46" spans="1:7" s="57" customFormat="1" ht="13.5" customHeight="1" hidden="1">
      <c r="A46" s="13" t="s">
        <v>72</v>
      </c>
      <c r="B46" s="9" t="s">
        <v>73</v>
      </c>
      <c r="C46" s="821">
        <v>55740</v>
      </c>
      <c r="E46" s="33"/>
      <c r="F46" s="137"/>
      <c r="G46" s="71"/>
    </row>
    <row r="47" spans="1:7" s="57" customFormat="1" ht="13.5" customHeight="1" hidden="1">
      <c r="A47" s="13" t="s">
        <v>96</v>
      </c>
      <c r="B47" s="9" t="s">
        <v>71</v>
      </c>
      <c r="C47" s="821">
        <v>6600</v>
      </c>
      <c r="E47" s="33"/>
      <c r="F47" s="137"/>
      <c r="G47" s="71"/>
    </row>
    <row r="48" spans="1:7" s="57" customFormat="1" ht="13.5" customHeight="1">
      <c r="A48" s="12" t="s">
        <v>117</v>
      </c>
      <c r="B48" s="791" t="s">
        <v>118</v>
      </c>
      <c r="C48" s="33">
        <f>SUM(C49)</f>
        <v>42820</v>
      </c>
      <c r="E48" s="33"/>
      <c r="F48" s="23"/>
      <c r="G48" s="71"/>
    </row>
    <row r="49" spans="1:8" s="9" customFormat="1" ht="13.5" customHeight="1" hidden="1">
      <c r="A49" s="13" t="s">
        <v>51</v>
      </c>
      <c r="B49" s="24" t="s">
        <v>52</v>
      </c>
      <c r="C49" s="821">
        <v>42820</v>
      </c>
      <c r="E49" s="26"/>
      <c r="F49" s="116"/>
      <c r="G49" s="71"/>
      <c r="H49" s="57"/>
    </row>
    <row r="50" spans="1:8" s="9" customFormat="1" ht="13.5" customHeight="1">
      <c r="A50" s="353" t="s">
        <v>129</v>
      </c>
      <c r="B50" s="26" t="s">
        <v>119</v>
      </c>
      <c r="C50" s="26">
        <f>SUM(C51)</f>
        <v>5000</v>
      </c>
      <c r="D50" s="115"/>
      <c r="E50" s="26"/>
      <c r="F50" s="135"/>
      <c r="G50" s="71"/>
      <c r="H50" s="57"/>
    </row>
    <row r="51" spans="1:6" s="100" customFormat="1" ht="13.5" hidden="1">
      <c r="A51" s="107" t="s">
        <v>168</v>
      </c>
      <c r="B51" s="24" t="s">
        <v>74</v>
      </c>
      <c r="C51" s="822">
        <v>5000</v>
      </c>
      <c r="D51" s="102"/>
      <c r="E51" s="102"/>
      <c r="F51" s="102"/>
    </row>
    <row r="52" spans="1:6" s="100" customFormat="1" ht="13.5">
      <c r="A52" s="353" t="s">
        <v>134</v>
      </c>
      <c r="B52" s="812" t="s">
        <v>133</v>
      </c>
      <c r="C52" s="811">
        <f>SUM(C53:C53)</f>
        <v>7800</v>
      </c>
      <c r="D52" s="102"/>
      <c r="E52" s="102"/>
      <c r="F52" s="102"/>
    </row>
    <row r="53" spans="1:6" s="100" customFormat="1" ht="13.5" hidden="1">
      <c r="A53" s="107" t="s">
        <v>103</v>
      </c>
      <c r="B53" s="24" t="s">
        <v>78</v>
      </c>
      <c r="C53" s="822">
        <v>7800</v>
      </c>
      <c r="D53" s="102"/>
      <c r="E53" s="102"/>
      <c r="F53" s="102"/>
    </row>
    <row r="54" spans="1:6" s="100" customFormat="1" ht="13.5">
      <c r="A54" s="353" t="s">
        <v>169</v>
      </c>
      <c r="B54" s="26" t="s">
        <v>135</v>
      </c>
      <c r="C54" s="811">
        <f>SUM(C55:C57)</f>
        <v>45960</v>
      </c>
      <c r="D54" s="102"/>
      <c r="E54" s="102"/>
      <c r="F54" s="102"/>
    </row>
    <row r="55" spans="1:6" s="100" customFormat="1" ht="13.5" hidden="1">
      <c r="A55" s="107" t="s">
        <v>170</v>
      </c>
      <c r="B55" s="24" t="s">
        <v>70</v>
      </c>
      <c r="C55" s="822">
        <v>19260</v>
      </c>
      <c r="D55" s="102"/>
      <c r="E55" s="102"/>
      <c r="F55" s="102"/>
    </row>
    <row r="56" spans="1:6" s="100" customFormat="1" ht="13.5" hidden="1">
      <c r="A56" s="107" t="s">
        <v>171</v>
      </c>
      <c r="B56" s="24" t="s">
        <v>75</v>
      </c>
      <c r="C56" s="822">
        <v>8000</v>
      </c>
      <c r="D56" s="102"/>
      <c r="E56" s="102"/>
      <c r="F56" s="102"/>
    </row>
    <row r="57" spans="1:8" s="100" customFormat="1" ht="13.5" hidden="1">
      <c r="A57" s="107" t="s">
        <v>172</v>
      </c>
      <c r="B57" s="24" t="s">
        <v>144</v>
      </c>
      <c r="C57" s="822">
        <v>18700</v>
      </c>
      <c r="F57" s="102"/>
      <c r="G57" s="102"/>
      <c r="H57" s="102"/>
    </row>
    <row r="58" spans="1:8" s="9" customFormat="1" ht="13.5" customHeight="1" thickBot="1">
      <c r="A58" s="107"/>
      <c r="B58" s="24"/>
      <c r="C58" s="24"/>
      <c r="F58" s="115"/>
      <c r="G58" s="26"/>
      <c r="H58" s="134"/>
    </row>
    <row r="59" spans="1:8" s="9" customFormat="1" ht="13.5" customHeight="1" thickBot="1">
      <c r="A59" s="949" t="s">
        <v>3</v>
      </c>
      <c r="B59" s="950"/>
      <c r="C59" s="36">
        <f>C60+C62+C65+C68+C71</f>
        <v>814460</v>
      </c>
      <c r="F59" s="115"/>
      <c r="G59" s="26"/>
      <c r="H59" s="70"/>
    </row>
    <row r="60" spans="1:8" s="9" customFormat="1" ht="13.5" customHeight="1">
      <c r="A60" s="353" t="s">
        <v>120</v>
      </c>
      <c r="B60" s="404" t="s">
        <v>121</v>
      </c>
      <c r="C60" s="33">
        <f>SUM(C61)</f>
        <v>5200</v>
      </c>
      <c r="F60" s="115"/>
      <c r="G60" s="26"/>
      <c r="H60" s="70"/>
    </row>
    <row r="61" spans="1:8" s="9" customFormat="1" ht="13.5" customHeight="1" hidden="1">
      <c r="A61" s="13" t="s">
        <v>57</v>
      </c>
      <c r="B61" s="25" t="s">
        <v>18</v>
      </c>
      <c r="C61" s="821">
        <v>5200</v>
      </c>
      <c r="F61" s="116"/>
      <c r="G61" s="26"/>
      <c r="H61" s="132"/>
    </row>
    <row r="62" spans="1:8" s="9" customFormat="1" ht="13.5" customHeight="1">
      <c r="A62" s="813" t="s">
        <v>130</v>
      </c>
      <c r="B62" s="814" t="s">
        <v>131</v>
      </c>
      <c r="C62" s="33">
        <f>SUM(C63:C64)</f>
        <v>20400</v>
      </c>
      <c r="F62" s="115"/>
      <c r="G62" s="26"/>
      <c r="H62" s="132"/>
    </row>
    <row r="63" spans="1:8" s="9" customFormat="1" ht="13.5" customHeight="1" hidden="1">
      <c r="A63" s="86" t="s">
        <v>153</v>
      </c>
      <c r="B63" s="57" t="s">
        <v>154</v>
      </c>
      <c r="C63" s="821">
        <v>16900</v>
      </c>
      <c r="F63" s="116"/>
      <c r="G63" s="26"/>
      <c r="H63" s="132"/>
    </row>
    <row r="64" spans="1:8" s="9" customFormat="1" ht="13.5" customHeight="1" hidden="1">
      <c r="A64" s="86" t="s">
        <v>148</v>
      </c>
      <c r="B64" s="86" t="s">
        <v>77</v>
      </c>
      <c r="C64" s="821">
        <f>13500-10000</f>
        <v>3500</v>
      </c>
      <c r="G64" s="26"/>
      <c r="H64" s="132"/>
    </row>
    <row r="65" spans="1:8" s="9" customFormat="1" ht="13.5" customHeight="1">
      <c r="A65" s="813" t="s">
        <v>122</v>
      </c>
      <c r="B65" s="812" t="s">
        <v>132</v>
      </c>
      <c r="C65" s="33">
        <f>SUM(C66:C67)</f>
        <v>257000</v>
      </c>
      <c r="F65" s="115"/>
      <c r="G65" s="26"/>
      <c r="H65" s="132"/>
    </row>
    <row r="66" spans="1:8" s="9" customFormat="1" ht="13.5" customHeight="1" hidden="1">
      <c r="A66" s="107" t="s">
        <v>150</v>
      </c>
      <c r="B66" s="57" t="s">
        <v>149</v>
      </c>
      <c r="C66" s="821">
        <v>7000</v>
      </c>
      <c r="F66" s="116"/>
      <c r="G66" s="26"/>
      <c r="H66" s="132"/>
    </row>
    <row r="67" spans="1:8" s="9" customFormat="1" ht="13.5" customHeight="1" hidden="1">
      <c r="A67" s="107" t="s">
        <v>53</v>
      </c>
      <c r="B67" s="24" t="s">
        <v>97</v>
      </c>
      <c r="C67" s="821">
        <f>465000-90000-75000-50000</f>
        <v>250000</v>
      </c>
      <c r="F67" s="116"/>
      <c r="G67" s="26"/>
      <c r="H67" s="132"/>
    </row>
    <row r="68" spans="1:8" s="9" customFormat="1" ht="13.5" customHeight="1">
      <c r="A68" s="813" t="s">
        <v>123</v>
      </c>
      <c r="B68" s="813" t="s">
        <v>124</v>
      </c>
      <c r="C68" s="33">
        <f>SUM(C69:C70)</f>
        <v>11000</v>
      </c>
      <c r="F68" s="115"/>
      <c r="G68" s="26"/>
      <c r="H68" s="132"/>
    </row>
    <row r="69" spans="1:8" s="9" customFormat="1" ht="13.5" customHeight="1" hidden="1">
      <c r="A69" s="107" t="s">
        <v>84</v>
      </c>
      <c r="B69" s="24" t="s">
        <v>79</v>
      </c>
      <c r="C69" s="821">
        <v>5000</v>
      </c>
      <c r="F69" s="115"/>
      <c r="G69" s="26"/>
      <c r="H69" s="132"/>
    </row>
    <row r="70" spans="1:8" s="9" customFormat="1" ht="13.5" customHeight="1" hidden="1">
      <c r="A70" s="107" t="s">
        <v>98</v>
      </c>
      <c r="B70" s="24" t="s">
        <v>69</v>
      </c>
      <c r="C70" s="821">
        <v>6000</v>
      </c>
      <c r="F70" s="115"/>
      <c r="G70" s="26"/>
      <c r="H70" s="132"/>
    </row>
    <row r="71" spans="1:8" s="9" customFormat="1" ht="13.5" customHeight="1">
      <c r="A71" s="353" t="s">
        <v>125</v>
      </c>
      <c r="B71" s="26" t="s">
        <v>8</v>
      </c>
      <c r="C71" s="33">
        <f>SUM(C72:C74)</f>
        <v>520860</v>
      </c>
      <c r="F71" s="115"/>
      <c r="G71" s="26"/>
      <c r="H71" s="132"/>
    </row>
    <row r="72" spans="1:10" s="9" customFormat="1" ht="13.5" customHeight="1" hidden="1">
      <c r="A72" s="107" t="s">
        <v>102</v>
      </c>
      <c r="B72" s="24" t="s">
        <v>8</v>
      </c>
      <c r="C72" s="821">
        <f>241560-20000</f>
        <v>221560</v>
      </c>
      <c r="F72" s="116"/>
      <c r="G72" s="26"/>
      <c r="J72" s="123"/>
    </row>
    <row r="73" spans="1:9" s="9" customFormat="1" ht="13.5" customHeight="1" hidden="1">
      <c r="A73" s="107" t="s">
        <v>104</v>
      </c>
      <c r="B73" s="24" t="s">
        <v>54</v>
      </c>
      <c r="C73" s="821">
        <f>373800-150000</f>
        <v>223800</v>
      </c>
      <c r="F73" s="116"/>
      <c r="G73" s="135"/>
      <c r="I73" s="123"/>
    </row>
    <row r="74" spans="1:8" s="9" customFormat="1" ht="13.5" customHeight="1" hidden="1">
      <c r="A74" s="107" t="s">
        <v>100</v>
      </c>
      <c r="B74" s="24" t="s">
        <v>7</v>
      </c>
      <c r="C74" s="821">
        <f>110500-35000</f>
        <v>75500</v>
      </c>
      <c r="D74" s="124"/>
      <c r="E74" s="641"/>
      <c r="F74" s="135"/>
      <c r="G74" s="71"/>
      <c r="H74" s="57"/>
    </row>
    <row r="75" spans="1:8" s="9" customFormat="1" ht="13.5" customHeight="1" thickBot="1">
      <c r="A75" s="107"/>
      <c r="B75" s="24"/>
      <c r="C75" s="25"/>
      <c r="D75" s="124"/>
      <c r="E75" s="26"/>
      <c r="F75" s="135"/>
      <c r="G75" s="71"/>
      <c r="H75" s="57"/>
    </row>
    <row r="76" spans="1:8" s="9" customFormat="1" ht="13.5" customHeight="1" thickBot="1">
      <c r="A76" s="951" t="s">
        <v>4</v>
      </c>
      <c r="B76" s="952"/>
      <c r="C76" s="32">
        <f>C77+C80+C83+C85+C88</f>
        <v>4046503</v>
      </c>
      <c r="D76" s="115"/>
      <c r="E76" s="26"/>
      <c r="F76" s="135"/>
      <c r="G76" s="71"/>
      <c r="H76" s="57"/>
    </row>
    <row r="77" spans="1:7" s="5" customFormat="1" ht="13.5">
      <c r="A77" s="353" t="s">
        <v>566</v>
      </c>
      <c r="B77" s="26" t="s">
        <v>567</v>
      </c>
      <c r="C77" s="33">
        <f>SUM(C78:C79)</f>
        <v>4000001</v>
      </c>
      <c r="D77" s="24"/>
      <c r="E77" s="22"/>
      <c r="G77" s="528"/>
    </row>
    <row r="78" spans="1:7" s="5" customFormat="1" ht="13.5" hidden="1">
      <c r="A78" s="107" t="s">
        <v>568</v>
      </c>
      <c r="B78" s="107" t="s">
        <v>569</v>
      </c>
      <c r="C78" s="821">
        <v>4000000</v>
      </c>
      <c r="D78" s="25"/>
      <c r="E78" s="22"/>
      <c r="G78" s="528"/>
    </row>
    <row r="79" spans="1:7" s="5" customFormat="1" ht="13.5" hidden="1">
      <c r="A79" s="107" t="s">
        <v>570</v>
      </c>
      <c r="B79" s="107" t="s">
        <v>571</v>
      </c>
      <c r="C79" s="821">
        <v>1</v>
      </c>
      <c r="D79" s="25"/>
      <c r="E79" s="22"/>
      <c r="G79" s="528"/>
    </row>
    <row r="80" spans="1:7" s="57" customFormat="1" ht="13.5" customHeight="1">
      <c r="A80" s="353" t="s">
        <v>126</v>
      </c>
      <c r="B80" s="286" t="s">
        <v>127</v>
      </c>
      <c r="C80" s="33">
        <f>SUM(C81:C82)</f>
        <v>27500</v>
      </c>
      <c r="D80" s="23"/>
      <c r="E80" s="25"/>
      <c r="F80" s="135"/>
      <c r="G80" s="71"/>
    </row>
    <row r="81" spans="1:8" s="9" customFormat="1" ht="13.5" customHeight="1" hidden="1">
      <c r="A81" s="107" t="s">
        <v>101</v>
      </c>
      <c r="B81" s="24" t="s">
        <v>9</v>
      </c>
      <c r="C81" s="821">
        <v>19000</v>
      </c>
      <c r="D81" s="115"/>
      <c r="E81" s="26"/>
      <c r="F81" s="135"/>
      <c r="G81" s="71"/>
      <c r="H81" s="57"/>
    </row>
    <row r="82" spans="1:8" s="9" customFormat="1" ht="13.5" customHeight="1" hidden="1">
      <c r="A82" s="107" t="s">
        <v>62</v>
      </c>
      <c r="B82" s="24" t="s">
        <v>63</v>
      </c>
      <c r="C82" s="821">
        <v>8500</v>
      </c>
      <c r="D82" s="115"/>
      <c r="E82" s="26"/>
      <c r="F82" s="70"/>
      <c r="G82" s="108"/>
      <c r="H82" s="57"/>
    </row>
    <row r="83" spans="1:8" s="9" customFormat="1" ht="13.5" customHeight="1">
      <c r="A83" s="353" t="s">
        <v>142</v>
      </c>
      <c r="B83" s="26" t="s">
        <v>55</v>
      </c>
      <c r="C83" s="26">
        <f>SUM(C84)</f>
        <v>14000</v>
      </c>
      <c r="D83" s="115"/>
      <c r="E83" s="26"/>
      <c r="F83" s="70"/>
      <c r="G83" s="108"/>
      <c r="H83" s="57"/>
    </row>
    <row r="84" spans="1:8" s="9" customFormat="1" ht="13.5" customHeight="1" hidden="1">
      <c r="A84" s="107" t="s">
        <v>185</v>
      </c>
      <c r="B84" s="24" t="s">
        <v>55</v>
      </c>
      <c r="C84" s="821">
        <v>14000</v>
      </c>
      <c r="D84" s="115"/>
      <c r="E84" s="26"/>
      <c r="F84" s="135"/>
      <c r="G84" s="71"/>
      <c r="H84" s="57"/>
    </row>
    <row r="85" spans="1:8" s="9" customFormat="1" ht="13.5" customHeight="1">
      <c r="A85" s="353" t="s">
        <v>128</v>
      </c>
      <c r="B85" s="26" t="s">
        <v>141</v>
      </c>
      <c r="C85" s="26">
        <f>SUM(C86:C87)</f>
        <v>2</v>
      </c>
      <c r="D85" s="115"/>
      <c r="E85" s="26"/>
      <c r="F85" s="70"/>
      <c r="G85" s="108"/>
      <c r="H85" s="57"/>
    </row>
    <row r="86" spans="1:8" s="9" customFormat="1" ht="13.5" customHeight="1" hidden="1">
      <c r="A86" s="107" t="s">
        <v>186</v>
      </c>
      <c r="B86" s="24" t="s">
        <v>76</v>
      </c>
      <c r="C86" s="821">
        <v>1</v>
      </c>
      <c r="D86" s="115"/>
      <c r="E86" s="26"/>
      <c r="F86" s="135"/>
      <c r="G86" s="71"/>
      <c r="H86" s="57"/>
    </row>
    <row r="87" spans="1:8" s="9" customFormat="1" ht="13.5" customHeight="1" hidden="1">
      <c r="A87" s="107" t="s">
        <v>187</v>
      </c>
      <c r="B87" s="24" t="s">
        <v>151</v>
      </c>
      <c r="C87" s="821">
        <v>1</v>
      </c>
      <c r="D87" s="115"/>
      <c r="E87" s="26"/>
      <c r="F87" s="135"/>
      <c r="G87" s="71"/>
      <c r="H87" s="57"/>
    </row>
    <row r="88" spans="1:8" s="9" customFormat="1" ht="13.5" customHeight="1">
      <c r="A88" s="353" t="s">
        <v>188</v>
      </c>
      <c r="B88" s="26" t="s">
        <v>146</v>
      </c>
      <c r="C88" s="26">
        <f>SUM(C89)</f>
        <v>5000</v>
      </c>
      <c r="D88" s="115"/>
      <c r="E88" s="26"/>
      <c r="F88" s="135"/>
      <c r="G88" s="71"/>
      <c r="H88" s="57"/>
    </row>
    <row r="89" spans="1:8" s="9" customFormat="1" ht="13.5" customHeight="1" hidden="1">
      <c r="A89" s="107" t="s">
        <v>189</v>
      </c>
      <c r="B89" s="24" t="s">
        <v>56</v>
      </c>
      <c r="C89" s="821">
        <v>5000</v>
      </c>
      <c r="D89" s="115"/>
      <c r="E89" s="26"/>
      <c r="F89" s="135"/>
      <c r="G89" s="71"/>
      <c r="H89" s="57"/>
    </row>
    <row r="90" spans="1:8" s="7" customFormat="1" ht="13.5" customHeight="1">
      <c r="A90" s="11"/>
      <c r="B90" s="29"/>
      <c r="C90" s="29"/>
      <c r="D90" s="27"/>
      <c r="E90" s="28"/>
      <c r="F90" s="135"/>
      <c r="G90" s="57"/>
      <c r="H90" s="57"/>
    </row>
    <row r="91" spans="2:6" s="7" customFormat="1" ht="14.25" thickBot="1">
      <c r="B91" s="30"/>
      <c r="C91" s="30"/>
      <c r="D91" s="31"/>
      <c r="E91" s="35"/>
      <c r="F91" s="129"/>
    </row>
    <row r="92" spans="1:6" s="68" customFormat="1" ht="12.75">
      <c r="A92" s="72" t="s">
        <v>13</v>
      </c>
      <c r="B92" s="73"/>
      <c r="C92" s="74"/>
      <c r="D92" s="75" t="s">
        <v>6</v>
      </c>
      <c r="E92" s="76" t="s">
        <v>162</v>
      </c>
      <c r="F92" s="94"/>
    </row>
    <row r="93" spans="1:6" s="68" customFormat="1" ht="13.5" thickBot="1">
      <c r="A93" s="81"/>
      <c r="B93" s="82"/>
      <c r="C93" s="83"/>
      <c r="D93" s="174"/>
      <c r="E93" s="173"/>
      <c r="F93" s="94"/>
    </row>
    <row r="94" spans="1:6" s="68" customFormat="1" ht="12.75">
      <c r="A94" s="77" t="s">
        <v>166</v>
      </c>
      <c r="B94" s="78"/>
      <c r="C94" s="79"/>
      <c r="D94" s="79"/>
      <c r="E94" s="80"/>
      <c r="F94" s="94"/>
    </row>
    <row r="95" spans="1:6" s="68" customFormat="1" ht="12.75">
      <c r="A95" s="77" t="s">
        <v>14</v>
      </c>
      <c r="B95" s="78"/>
      <c r="C95" s="79"/>
      <c r="D95" s="79"/>
      <c r="E95" s="80"/>
      <c r="F95" s="94"/>
    </row>
    <row r="96" spans="1:6" s="68" customFormat="1" ht="12.75">
      <c r="A96" s="77" t="s">
        <v>1366</v>
      </c>
      <c r="B96" s="78"/>
      <c r="C96" s="79"/>
      <c r="D96" s="79"/>
      <c r="E96" s="80"/>
      <c r="F96" s="94"/>
    </row>
    <row r="97" spans="1:6" s="68" customFormat="1" ht="12.75">
      <c r="A97" s="77" t="s">
        <v>15</v>
      </c>
      <c r="B97" s="78"/>
      <c r="C97" s="79"/>
      <c r="D97" s="79"/>
      <c r="E97" s="80"/>
      <c r="F97" s="94"/>
    </row>
    <row r="98" spans="1:6" s="68" customFormat="1" ht="13.5" thickBot="1">
      <c r="A98" s="81" t="s">
        <v>167</v>
      </c>
      <c r="B98" s="82"/>
      <c r="C98" s="83"/>
      <c r="D98" s="83"/>
      <c r="E98" s="84"/>
      <c r="F98" s="94"/>
    </row>
    <row r="99" spans="1:6" s="68" customFormat="1" ht="13.5">
      <c r="A99" s="85" t="s">
        <v>1365</v>
      </c>
      <c r="B99" s="86"/>
      <c r="C99" s="87"/>
      <c r="D99" s="87"/>
      <c r="E99" s="88"/>
      <c r="F99" s="94"/>
    </row>
    <row r="100" spans="1:6" s="104" customFormat="1" ht="13.5">
      <c r="A100" s="52" t="s">
        <v>10</v>
      </c>
      <c r="B100" s="86"/>
      <c r="C100" s="87"/>
      <c r="D100" s="87"/>
      <c r="E100" s="88"/>
      <c r="F100" s="99"/>
    </row>
    <row r="101" spans="1:6" s="104" customFormat="1" ht="13.5">
      <c r="A101" s="52" t="s">
        <v>1430</v>
      </c>
      <c r="B101" s="33"/>
      <c r="C101" s="87"/>
      <c r="D101" s="87"/>
      <c r="E101" s="88"/>
      <c r="F101" s="99"/>
    </row>
    <row r="102" spans="1:6" s="68" customFormat="1" ht="14.25" thickBot="1">
      <c r="A102" s="85" t="s">
        <v>16</v>
      </c>
      <c r="B102" s="86"/>
      <c r="C102" s="87"/>
      <c r="D102" s="87"/>
      <c r="E102" s="88"/>
      <c r="F102" s="94"/>
    </row>
    <row r="103" spans="1:7" s="68" customFormat="1" ht="14.25" thickBot="1">
      <c r="A103" s="89" t="s">
        <v>17</v>
      </c>
      <c r="B103" s="90"/>
      <c r="C103" s="91"/>
      <c r="D103" s="92"/>
      <c r="E103" s="93">
        <f>+C105+C118+C136</f>
        <v>6402970</v>
      </c>
      <c r="F103" s="94"/>
      <c r="G103" s="94"/>
    </row>
    <row r="104" spans="1:6" s="68" customFormat="1" ht="14.25" thickBot="1">
      <c r="A104" s="95"/>
      <c r="B104" s="95"/>
      <c r="C104" s="96"/>
      <c r="D104" s="96"/>
      <c r="E104" s="96"/>
      <c r="F104" s="94"/>
    </row>
    <row r="105" spans="1:6" s="100" customFormat="1" ht="14.25" thickBot="1">
      <c r="A105" s="955" t="s">
        <v>2</v>
      </c>
      <c r="B105" s="956"/>
      <c r="C105" s="97">
        <f>C106+C110+C115+C112</f>
        <v>552160</v>
      </c>
      <c r="D105" s="102"/>
      <c r="E105" s="152"/>
      <c r="F105" s="102"/>
    </row>
    <row r="106" spans="1:6" s="78" customFormat="1" ht="13.5">
      <c r="A106" s="12" t="s">
        <v>115</v>
      </c>
      <c r="B106" s="791" t="s">
        <v>116</v>
      </c>
      <c r="C106" s="96">
        <f>SUM(C107:C109)</f>
        <v>463110</v>
      </c>
      <c r="E106" s="79"/>
      <c r="F106" s="79"/>
    </row>
    <row r="107" spans="1:7" s="57" customFormat="1" ht="13.5" customHeight="1" hidden="1">
      <c r="A107" s="13" t="s">
        <v>72</v>
      </c>
      <c r="B107" s="9" t="s">
        <v>73</v>
      </c>
      <c r="C107" s="821">
        <v>55740</v>
      </c>
      <c r="D107" s="79"/>
      <c r="E107" s="33"/>
      <c r="F107" s="70"/>
      <c r="G107" s="71"/>
    </row>
    <row r="108" spans="1:7" s="57" customFormat="1" ht="13.5" customHeight="1" hidden="1">
      <c r="A108" s="13" t="s">
        <v>96</v>
      </c>
      <c r="B108" s="9" t="s">
        <v>71</v>
      </c>
      <c r="C108" s="821">
        <f>418800*0.9</f>
        <v>376920</v>
      </c>
      <c r="F108" s="137"/>
      <c r="G108" s="33"/>
    </row>
    <row r="109" spans="1:7" s="57" customFormat="1" ht="13.5" customHeight="1" hidden="1">
      <c r="A109" s="13" t="s">
        <v>1186</v>
      </c>
      <c r="B109" s="57" t="s">
        <v>1185</v>
      </c>
      <c r="C109" s="821">
        <v>30450</v>
      </c>
      <c r="F109" s="137"/>
      <c r="G109" s="33"/>
    </row>
    <row r="110" spans="1:7" s="57" customFormat="1" ht="13.5" customHeight="1">
      <c r="A110" s="12" t="s">
        <v>117</v>
      </c>
      <c r="B110" s="791" t="s">
        <v>118</v>
      </c>
      <c r="C110" s="33">
        <f>SUM(C111)</f>
        <v>55950</v>
      </c>
      <c r="F110" s="23"/>
      <c r="G110" s="33"/>
    </row>
    <row r="111" spans="1:8" s="9" customFormat="1" ht="13.5" customHeight="1" hidden="1">
      <c r="A111" s="13" t="s">
        <v>51</v>
      </c>
      <c r="B111" s="24" t="s">
        <v>52</v>
      </c>
      <c r="C111" s="821">
        <v>55950</v>
      </c>
      <c r="F111" s="79"/>
      <c r="G111" s="26"/>
      <c r="H111" s="57"/>
    </row>
    <row r="112" spans="1:8" s="9" customFormat="1" ht="13.5" customHeight="1">
      <c r="A112" s="353" t="s">
        <v>134</v>
      </c>
      <c r="B112" s="812" t="s">
        <v>133</v>
      </c>
      <c r="C112" s="33">
        <f>SUM(C113:C114)</f>
        <v>13600</v>
      </c>
      <c r="F112" s="79"/>
      <c r="G112" s="26"/>
      <c r="H112" s="57"/>
    </row>
    <row r="113" spans="1:8" s="9" customFormat="1" ht="13.5" customHeight="1" hidden="1">
      <c r="A113" s="107" t="s">
        <v>103</v>
      </c>
      <c r="B113" s="24" t="s">
        <v>78</v>
      </c>
      <c r="C113" s="821">
        <v>3450</v>
      </c>
      <c r="F113" s="79"/>
      <c r="G113" s="26"/>
      <c r="H113" s="57"/>
    </row>
    <row r="114" spans="1:8" s="9" customFormat="1" ht="13.5" customHeight="1" hidden="1">
      <c r="A114" s="107" t="s">
        <v>1187</v>
      </c>
      <c r="B114" s="57" t="s">
        <v>1188</v>
      </c>
      <c r="C114" s="821">
        <v>10150</v>
      </c>
      <c r="F114" s="79"/>
      <c r="G114" s="26"/>
      <c r="H114" s="57"/>
    </row>
    <row r="115" spans="1:8" s="9" customFormat="1" ht="13.5" customHeight="1">
      <c r="A115" s="353" t="s">
        <v>169</v>
      </c>
      <c r="B115" s="26" t="s">
        <v>144</v>
      </c>
      <c r="C115" s="26">
        <f>SUM(C116)</f>
        <v>19500</v>
      </c>
      <c r="F115" s="115"/>
      <c r="G115" s="26"/>
      <c r="H115" s="57"/>
    </row>
    <row r="116" spans="1:8" s="9" customFormat="1" ht="13.5" customHeight="1" hidden="1">
      <c r="A116" s="107" t="s">
        <v>173</v>
      </c>
      <c r="B116" s="24" t="s">
        <v>144</v>
      </c>
      <c r="C116" s="821">
        <v>19500</v>
      </c>
      <c r="F116" s="115"/>
      <c r="G116" s="26"/>
      <c r="H116" s="109"/>
    </row>
    <row r="117" spans="1:8" s="9" customFormat="1" ht="13.5" customHeight="1" thickBot="1">
      <c r="A117" s="107"/>
      <c r="B117" s="24"/>
      <c r="C117" s="24"/>
      <c r="F117" s="115"/>
      <c r="G117" s="26"/>
      <c r="H117" s="109"/>
    </row>
    <row r="118" spans="1:6" s="100" customFormat="1" ht="14.25" thickBot="1">
      <c r="A118" s="957" t="s">
        <v>3</v>
      </c>
      <c r="B118" s="958"/>
      <c r="C118" s="98">
        <f>C119+C121+C123+C125+C127+C132</f>
        <v>5821410</v>
      </c>
      <c r="F118" s="102"/>
    </row>
    <row r="119" spans="1:6" s="78" customFormat="1" ht="14.25" customHeight="1">
      <c r="A119" s="353" t="s">
        <v>120</v>
      </c>
      <c r="B119" s="404" t="s">
        <v>121</v>
      </c>
      <c r="C119" s="96">
        <f>SUM(C120)</f>
        <v>37440</v>
      </c>
      <c r="F119" s="79"/>
    </row>
    <row r="120" spans="1:7" s="100" customFormat="1" ht="13.5" hidden="1">
      <c r="A120" s="86" t="s">
        <v>57</v>
      </c>
      <c r="B120" s="86" t="s">
        <v>18</v>
      </c>
      <c r="C120" s="822">
        <v>37440</v>
      </c>
      <c r="F120" s="87"/>
      <c r="G120" s="102"/>
    </row>
    <row r="121" spans="1:8" s="9" customFormat="1" ht="13.5" customHeight="1">
      <c r="A121" s="813" t="s">
        <v>130</v>
      </c>
      <c r="B121" s="814" t="s">
        <v>131</v>
      </c>
      <c r="C121" s="33">
        <f>SUM(C122:C122)</f>
        <v>10500</v>
      </c>
      <c r="F121" s="115"/>
      <c r="G121" s="26"/>
      <c r="H121" s="71"/>
    </row>
    <row r="122" spans="1:8" s="9" customFormat="1" ht="13.5" customHeight="1" hidden="1">
      <c r="A122" s="86" t="s">
        <v>148</v>
      </c>
      <c r="B122" s="86" t="s">
        <v>77</v>
      </c>
      <c r="C122" s="821">
        <v>10500</v>
      </c>
      <c r="G122" s="26"/>
      <c r="H122" s="71"/>
    </row>
    <row r="123" spans="1:7" s="100" customFormat="1" ht="13.5">
      <c r="A123" s="813" t="s">
        <v>122</v>
      </c>
      <c r="B123" s="812" t="s">
        <v>132</v>
      </c>
      <c r="C123" s="96">
        <f>SUM(C124)</f>
        <v>561000</v>
      </c>
      <c r="F123" s="79"/>
      <c r="G123" s="102"/>
    </row>
    <row r="124" spans="1:7" s="100" customFormat="1" ht="13.5" hidden="1">
      <c r="A124" s="107" t="s">
        <v>53</v>
      </c>
      <c r="B124" s="24" t="s">
        <v>97</v>
      </c>
      <c r="C124" s="822">
        <f>561000</f>
        <v>561000</v>
      </c>
      <c r="F124" s="79"/>
      <c r="G124" s="102"/>
    </row>
    <row r="125" spans="1:7" s="100" customFormat="1" ht="13.5">
      <c r="A125" s="813" t="s">
        <v>123</v>
      </c>
      <c r="B125" s="813" t="s">
        <v>124</v>
      </c>
      <c r="C125" s="811">
        <f>SUM(C126)</f>
        <v>225000</v>
      </c>
      <c r="F125" s="87"/>
      <c r="G125" s="79"/>
    </row>
    <row r="126" spans="1:7" s="100" customFormat="1" ht="13.5" hidden="1">
      <c r="A126" s="86" t="s">
        <v>58</v>
      </c>
      <c r="B126" s="86" t="s">
        <v>59</v>
      </c>
      <c r="C126" s="822">
        <f>250000-25000</f>
        <v>225000</v>
      </c>
      <c r="F126" s="79"/>
      <c r="G126" s="79"/>
    </row>
    <row r="127" spans="1:7" s="100" customFormat="1" ht="13.5">
      <c r="A127" s="813" t="s">
        <v>143</v>
      </c>
      <c r="B127" s="813" t="s">
        <v>61</v>
      </c>
      <c r="C127" s="96">
        <f>SUM(C128:C131)</f>
        <v>4687870</v>
      </c>
      <c r="F127" s="148"/>
      <c r="G127" s="79"/>
    </row>
    <row r="128" spans="1:7" s="100" customFormat="1" ht="14.25" hidden="1" thickBot="1">
      <c r="A128" s="105" t="s">
        <v>60</v>
      </c>
      <c r="B128" s="105" t="s">
        <v>61</v>
      </c>
      <c r="C128" s="822">
        <f>4450000-500000</f>
        <v>3950000</v>
      </c>
      <c r="F128" s="840"/>
      <c r="G128" s="841"/>
    </row>
    <row r="129" spans="1:6" s="100" customFormat="1" ht="13.5" hidden="1">
      <c r="A129" s="105" t="s">
        <v>156</v>
      </c>
      <c r="B129" s="57" t="s">
        <v>155</v>
      </c>
      <c r="C129" s="822">
        <v>20000</v>
      </c>
      <c r="D129" s="153"/>
      <c r="E129" s="101"/>
      <c r="F129" s="79"/>
    </row>
    <row r="130" spans="1:6" s="100" customFormat="1" ht="13.5" hidden="1">
      <c r="A130" s="105" t="s">
        <v>105</v>
      </c>
      <c r="B130" s="105" t="s">
        <v>106</v>
      </c>
      <c r="C130" s="822">
        <f>564550-150000</f>
        <v>414550</v>
      </c>
      <c r="D130" s="87"/>
      <c r="E130" s="101"/>
      <c r="F130" s="79"/>
    </row>
    <row r="131" spans="1:6" s="100" customFormat="1" ht="13.5" hidden="1">
      <c r="A131" s="105" t="s">
        <v>1160</v>
      </c>
      <c r="B131" s="57" t="s">
        <v>1175</v>
      </c>
      <c r="C131" s="822">
        <f>308320-5000</f>
        <v>303320</v>
      </c>
      <c r="D131" s="87"/>
      <c r="E131" s="101"/>
      <c r="F131" s="79"/>
    </row>
    <row r="132" spans="1:6" s="100" customFormat="1" ht="13.5">
      <c r="A132" s="353" t="s">
        <v>125</v>
      </c>
      <c r="B132" s="26" t="s">
        <v>8</v>
      </c>
      <c r="C132" s="96">
        <f>SUM(C133:C134)</f>
        <v>299600</v>
      </c>
      <c r="D132" s="79"/>
      <c r="E132" s="101"/>
      <c r="F132" s="79"/>
    </row>
    <row r="133" spans="1:6" s="100" customFormat="1" ht="13.5" hidden="1">
      <c r="A133" s="105" t="s">
        <v>99</v>
      </c>
      <c r="B133" s="105" t="s">
        <v>8</v>
      </c>
      <c r="C133" s="822">
        <f>269600-25000</f>
        <v>244600</v>
      </c>
      <c r="D133" s="102"/>
      <c r="E133" s="102"/>
      <c r="F133" s="102"/>
    </row>
    <row r="134" spans="1:6" s="100" customFormat="1" ht="13.5" hidden="1">
      <c r="A134" s="105" t="s">
        <v>100</v>
      </c>
      <c r="B134" s="105" t="s">
        <v>7</v>
      </c>
      <c r="C134" s="822">
        <v>55000</v>
      </c>
      <c r="D134" s="102"/>
      <c r="E134" s="102"/>
      <c r="F134" s="102"/>
    </row>
    <row r="135" spans="1:6" s="100" customFormat="1" ht="14.25" thickBot="1">
      <c r="A135" s="105"/>
      <c r="B135" s="105"/>
      <c r="C135" s="87"/>
      <c r="D135" s="102"/>
      <c r="E135" s="102"/>
      <c r="F135" s="102"/>
    </row>
    <row r="136" spans="1:6" s="100" customFormat="1" ht="14.25" thickBot="1">
      <c r="A136" s="959" t="s">
        <v>4</v>
      </c>
      <c r="B136" s="960"/>
      <c r="C136" s="103">
        <f>C137+C140</f>
        <v>29400</v>
      </c>
      <c r="D136" s="102"/>
      <c r="E136" s="102"/>
      <c r="F136" s="102"/>
    </row>
    <row r="137" spans="1:6" s="78" customFormat="1" ht="13.5">
      <c r="A137" s="353" t="s">
        <v>126</v>
      </c>
      <c r="B137" s="286" t="s">
        <v>127</v>
      </c>
      <c r="C137" s="96">
        <f>SUM(C138:C139)</f>
        <v>23400</v>
      </c>
      <c r="D137" s="79"/>
      <c r="E137" s="79"/>
      <c r="F137" s="79"/>
    </row>
    <row r="138" spans="1:8" s="9" customFormat="1" ht="13.5" customHeight="1" hidden="1">
      <c r="A138" s="107" t="s">
        <v>101</v>
      </c>
      <c r="B138" s="24" t="s">
        <v>152</v>
      </c>
      <c r="C138" s="821">
        <v>11000</v>
      </c>
      <c r="D138" s="115"/>
      <c r="E138" s="26"/>
      <c r="F138" s="135"/>
      <c r="G138" s="71"/>
      <c r="H138" s="57"/>
    </row>
    <row r="139" spans="1:8" s="9" customFormat="1" ht="13.5" customHeight="1" hidden="1">
      <c r="A139" s="107" t="s">
        <v>62</v>
      </c>
      <c r="B139" s="24" t="s">
        <v>63</v>
      </c>
      <c r="C139" s="821">
        <v>12400</v>
      </c>
      <c r="D139" s="115"/>
      <c r="E139" s="26"/>
      <c r="F139" s="70"/>
      <c r="G139" s="108"/>
      <c r="H139" s="57"/>
    </row>
    <row r="140" spans="1:8" s="9" customFormat="1" ht="13.5" customHeight="1">
      <c r="A140" s="353" t="s">
        <v>188</v>
      </c>
      <c r="B140" s="26" t="s">
        <v>145</v>
      </c>
      <c r="C140" s="26">
        <f>SUM(C141)</f>
        <v>6000</v>
      </c>
      <c r="D140" s="115"/>
      <c r="E140" s="26"/>
      <c r="F140" s="135"/>
      <c r="G140" s="71"/>
      <c r="H140" s="57"/>
    </row>
    <row r="141" spans="1:8" s="9" customFormat="1" ht="13.5" customHeight="1" hidden="1">
      <c r="A141" s="107" t="s">
        <v>189</v>
      </c>
      <c r="B141" s="24" t="s">
        <v>56</v>
      </c>
      <c r="C141" s="821">
        <v>6000</v>
      </c>
      <c r="D141" s="115"/>
      <c r="E141" s="26"/>
      <c r="F141" s="135"/>
      <c r="G141" s="71"/>
      <c r="H141" s="57"/>
    </row>
    <row r="142" spans="1:8" s="9" customFormat="1" ht="13.5" customHeight="1">
      <c r="A142" s="107"/>
      <c r="B142" s="24"/>
      <c r="C142" s="25"/>
      <c r="D142" s="115"/>
      <c r="E142" s="26"/>
      <c r="F142" s="135"/>
      <c r="G142" s="71"/>
      <c r="H142" s="57"/>
    </row>
    <row r="143" spans="1:6" s="7" customFormat="1" ht="13.5" customHeight="1" thickBot="1">
      <c r="A143" s="13"/>
      <c r="B143" s="25"/>
      <c r="C143" s="25"/>
      <c r="D143" s="27"/>
      <c r="E143" s="35"/>
      <c r="F143" s="129"/>
    </row>
    <row r="144" spans="1:6" s="7" customFormat="1" ht="13.5">
      <c r="A144" s="64" t="s">
        <v>177</v>
      </c>
      <c r="B144" s="65"/>
      <c r="C144" s="170"/>
      <c r="D144" s="67" t="s">
        <v>6</v>
      </c>
      <c r="E144" s="44">
        <v>1003</v>
      </c>
      <c r="F144" s="129"/>
    </row>
    <row r="145" spans="1:6" s="7" customFormat="1" ht="13.5" customHeight="1" thickBot="1">
      <c r="A145" s="49"/>
      <c r="B145" s="119"/>
      <c r="C145" s="171"/>
      <c r="D145" s="121"/>
      <c r="E145" s="120"/>
      <c r="F145" s="129"/>
    </row>
    <row r="146" spans="1:6" s="7" customFormat="1" ht="13.5">
      <c r="A146" s="45" t="s">
        <v>1197</v>
      </c>
      <c r="B146" s="172"/>
      <c r="C146" s="70"/>
      <c r="D146" s="47"/>
      <c r="E146" s="48"/>
      <c r="F146" s="129"/>
    </row>
    <row r="147" spans="1:6" s="7" customFormat="1" ht="13.5">
      <c r="A147" s="45" t="s">
        <v>1199</v>
      </c>
      <c r="B147" s="172"/>
      <c r="C147" s="70"/>
      <c r="D147" s="47"/>
      <c r="E147" s="48"/>
      <c r="F147" s="906"/>
    </row>
    <row r="148" spans="1:6" s="7" customFormat="1" ht="13.5">
      <c r="A148" s="45" t="s">
        <v>1198</v>
      </c>
      <c r="B148" s="172"/>
      <c r="C148" s="70"/>
      <c r="D148" s="47"/>
      <c r="E148" s="48"/>
      <c r="F148" s="129"/>
    </row>
    <row r="149" spans="1:6" s="7" customFormat="1" ht="14.25" thickBot="1">
      <c r="A149" s="45" t="s">
        <v>1355</v>
      </c>
      <c r="B149" s="172"/>
      <c r="C149" s="70"/>
      <c r="D149" s="47"/>
      <c r="E149" s="48"/>
      <c r="F149" s="129"/>
    </row>
    <row r="150" spans="1:6" s="7" customFormat="1" ht="13.5">
      <c r="A150" s="169" t="s">
        <v>1365</v>
      </c>
      <c r="B150" s="168"/>
      <c r="C150" s="167"/>
      <c r="D150" s="166"/>
      <c r="E150" s="165"/>
      <c r="F150" s="129"/>
    </row>
    <row r="151" spans="1:6" s="14" customFormat="1" ht="13.5">
      <c r="A151" s="52" t="s">
        <v>10</v>
      </c>
      <c r="B151" s="60"/>
      <c r="C151" s="71"/>
      <c r="D151" s="34"/>
      <c r="E151" s="53"/>
      <c r="F151" s="130"/>
    </row>
    <row r="152" spans="1:6" s="14" customFormat="1" ht="13.5">
      <c r="A152" s="52" t="s">
        <v>1430</v>
      </c>
      <c r="B152" s="33"/>
      <c r="C152" s="71"/>
      <c r="D152" s="34"/>
      <c r="E152" s="53"/>
      <c r="F152" s="130"/>
    </row>
    <row r="153" spans="1:6" s="7" customFormat="1" ht="13.5" customHeight="1" thickBot="1">
      <c r="A153" s="52" t="s">
        <v>176</v>
      </c>
      <c r="B153" s="60"/>
      <c r="C153" s="71"/>
      <c r="D153" s="34"/>
      <c r="E153" s="53"/>
      <c r="F153" s="129"/>
    </row>
    <row r="154" spans="1:6" s="7" customFormat="1" ht="13.5" customHeight="1" thickBot="1">
      <c r="A154" s="54" t="s">
        <v>0</v>
      </c>
      <c r="B154" s="164"/>
      <c r="C154" s="163"/>
      <c r="D154" s="162"/>
      <c r="E154" s="161">
        <f>+C156+C167+C178</f>
        <v>435440</v>
      </c>
      <c r="F154" s="129"/>
    </row>
    <row r="155" spans="2:6" s="7" customFormat="1" ht="13.5" customHeight="1" thickBot="1">
      <c r="B155" s="30"/>
      <c r="C155" s="30"/>
      <c r="D155" s="160"/>
      <c r="E155" s="59"/>
      <c r="F155" s="129"/>
    </row>
    <row r="156" spans="1:6" s="7" customFormat="1" ht="13.5" customHeight="1" thickBot="1">
      <c r="A156" s="947" t="s">
        <v>2</v>
      </c>
      <c r="B156" s="948"/>
      <c r="C156" s="38">
        <f>C157+C159+C161+C163</f>
        <v>66140</v>
      </c>
      <c r="D156" s="160"/>
      <c r="E156" s="30"/>
      <c r="F156" s="129"/>
    </row>
    <row r="157" spans="1:8" s="7" customFormat="1" ht="13.5" customHeight="1">
      <c r="A157" s="12" t="s">
        <v>113</v>
      </c>
      <c r="B157" s="404" t="s">
        <v>114</v>
      </c>
      <c r="C157" s="33">
        <f>SUM(C158)</f>
        <v>20640</v>
      </c>
      <c r="F157" s="160"/>
      <c r="G157" s="30"/>
      <c r="H157" s="129"/>
    </row>
    <row r="158" spans="1:8" s="7" customFormat="1" ht="13.5" customHeight="1" hidden="1">
      <c r="A158" s="13" t="s">
        <v>50</v>
      </c>
      <c r="B158" s="57" t="s">
        <v>180</v>
      </c>
      <c r="C158" s="821">
        <v>20640</v>
      </c>
      <c r="F158" s="252"/>
      <c r="G158" s="30"/>
      <c r="H158" s="129"/>
    </row>
    <row r="159" spans="1:8" s="14" customFormat="1" ht="13.5">
      <c r="A159" s="12" t="s">
        <v>115</v>
      </c>
      <c r="B159" s="791" t="s">
        <v>116</v>
      </c>
      <c r="C159" s="33">
        <f>SUM(C160)</f>
        <v>15000</v>
      </c>
      <c r="F159" s="160"/>
      <c r="G159" s="141"/>
      <c r="H159" s="130"/>
    </row>
    <row r="160" spans="1:8" s="14" customFormat="1" ht="13.5" hidden="1">
      <c r="A160" s="13" t="s">
        <v>96</v>
      </c>
      <c r="B160" s="57" t="s">
        <v>71</v>
      </c>
      <c r="C160" s="821">
        <v>15000</v>
      </c>
      <c r="F160" s="160"/>
      <c r="G160" s="141"/>
      <c r="H160" s="130"/>
    </row>
    <row r="161" spans="1:8" s="14" customFormat="1" ht="13.5">
      <c r="A161" s="12" t="s">
        <v>117</v>
      </c>
      <c r="B161" s="791" t="s">
        <v>118</v>
      </c>
      <c r="C161" s="33">
        <f>SUM(C162)</f>
        <v>17000</v>
      </c>
      <c r="F161" s="160"/>
      <c r="G161" s="141"/>
      <c r="H161" s="130"/>
    </row>
    <row r="162" spans="1:8" s="9" customFormat="1" ht="13.5" hidden="1">
      <c r="A162" s="13" t="s">
        <v>51</v>
      </c>
      <c r="B162" s="24" t="s">
        <v>52</v>
      </c>
      <c r="C162" s="821">
        <v>17000</v>
      </c>
      <c r="F162" s="159"/>
      <c r="G162" s="126"/>
      <c r="H162" s="132"/>
    </row>
    <row r="163" spans="1:8" s="9" customFormat="1" ht="13.5">
      <c r="A163" s="353" t="s">
        <v>169</v>
      </c>
      <c r="B163" s="26" t="s">
        <v>135</v>
      </c>
      <c r="C163" s="26">
        <f>SUM(C164:C165)</f>
        <v>13500</v>
      </c>
      <c r="F163" s="159"/>
      <c r="G163" s="126"/>
      <c r="H163" s="132"/>
    </row>
    <row r="164" spans="1:8" s="9" customFormat="1" ht="13.5" hidden="1">
      <c r="A164" s="13" t="s">
        <v>171</v>
      </c>
      <c r="B164" s="57" t="s">
        <v>75</v>
      </c>
      <c r="C164" s="821">
        <v>5000</v>
      </c>
      <c r="F164" s="159"/>
      <c r="G164" s="126"/>
      <c r="H164" s="132"/>
    </row>
    <row r="165" spans="1:8" s="9" customFormat="1" ht="13.5" hidden="1">
      <c r="A165" s="107" t="s">
        <v>173</v>
      </c>
      <c r="B165" s="24" t="s">
        <v>135</v>
      </c>
      <c r="C165" s="821">
        <v>8500</v>
      </c>
      <c r="F165" s="159"/>
      <c r="G165" s="126"/>
      <c r="H165" s="132"/>
    </row>
    <row r="166" spans="1:8" s="9" customFormat="1" ht="13.5" customHeight="1" thickBot="1">
      <c r="A166" s="107"/>
      <c r="B166" s="24"/>
      <c r="C166" s="24"/>
      <c r="F166" s="159"/>
      <c r="G166" s="126"/>
      <c r="H166" s="132"/>
    </row>
    <row r="167" spans="1:8" s="9" customFormat="1" ht="13.5" customHeight="1" thickBot="1">
      <c r="A167" s="949" t="s">
        <v>3</v>
      </c>
      <c r="B167" s="950"/>
      <c r="C167" s="36">
        <f>C168+C170+C172+C174</f>
        <v>300600</v>
      </c>
      <c r="F167" s="159"/>
      <c r="G167" s="126"/>
      <c r="H167" s="132"/>
    </row>
    <row r="168" spans="1:8" s="9" customFormat="1" ht="13.5" customHeight="1">
      <c r="A168" s="813" t="s">
        <v>120</v>
      </c>
      <c r="B168" s="404" t="s">
        <v>121</v>
      </c>
      <c r="C168" s="33">
        <f>C169</f>
        <v>25000</v>
      </c>
      <c r="F168" s="159"/>
      <c r="G168" s="126"/>
      <c r="H168" s="132"/>
    </row>
    <row r="169" spans="1:8" s="9" customFormat="1" ht="13.5" customHeight="1" hidden="1">
      <c r="A169" s="105" t="s">
        <v>179</v>
      </c>
      <c r="B169" s="57" t="s">
        <v>178</v>
      </c>
      <c r="C169" s="821">
        <f>25000</f>
        <v>25000</v>
      </c>
      <c r="F169" s="124"/>
      <c r="G169" s="126"/>
      <c r="H169" s="132"/>
    </row>
    <row r="170" spans="1:8" s="57" customFormat="1" ht="13.5">
      <c r="A170" s="813" t="s">
        <v>122</v>
      </c>
      <c r="B170" s="95" t="s">
        <v>175</v>
      </c>
      <c r="C170" s="33">
        <f>SUM(C171)</f>
        <v>85100</v>
      </c>
      <c r="F170" s="160"/>
      <c r="G170" s="125"/>
      <c r="H170" s="135"/>
    </row>
    <row r="171" spans="1:8" s="9" customFormat="1" ht="13.5" hidden="1">
      <c r="A171" s="105" t="s">
        <v>174</v>
      </c>
      <c r="B171" s="105" t="s">
        <v>97</v>
      </c>
      <c r="C171" s="821">
        <f>85100</f>
        <v>85100</v>
      </c>
      <c r="F171" s="24"/>
      <c r="G171" s="126"/>
      <c r="H171" s="132"/>
    </row>
    <row r="172" spans="1:8" s="9" customFormat="1" ht="13.5">
      <c r="A172" s="95" t="s">
        <v>143</v>
      </c>
      <c r="B172" s="812" t="s">
        <v>61</v>
      </c>
      <c r="C172" s="33">
        <f>SUM(C173)</f>
        <v>45500</v>
      </c>
      <c r="F172" s="159"/>
      <c r="G172" s="126"/>
      <c r="H172" s="132"/>
    </row>
    <row r="173" spans="1:8" s="9" customFormat="1" ht="13.5" hidden="1">
      <c r="A173" s="86" t="s">
        <v>105</v>
      </c>
      <c r="B173" s="57" t="s">
        <v>106</v>
      </c>
      <c r="C173" s="821">
        <v>45500</v>
      </c>
      <c r="F173" s="159"/>
      <c r="G173" s="126"/>
      <c r="H173" s="132"/>
    </row>
    <row r="174" spans="1:6" s="9" customFormat="1" ht="13.5">
      <c r="A174" s="813" t="s">
        <v>125</v>
      </c>
      <c r="B174" s="813" t="s">
        <v>8</v>
      </c>
      <c r="C174" s="26">
        <f>SUM(C175:C176)</f>
        <v>145000</v>
      </c>
      <c r="D174" s="159"/>
      <c r="E174" s="126"/>
      <c r="F174" s="132"/>
    </row>
    <row r="175" spans="1:6" s="9" customFormat="1" ht="13.5" hidden="1">
      <c r="A175" s="105" t="s">
        <v>99</v>
      </c>
      <c r="B175" s="105" t="s">
        <v>8</v>
      </c>
      <c r="C175" s="821">
        <v>100000</v>
      </c>
      <c r="D175" s="159"/>
      <c r="E175" s="126"/>
      <c r="F175" s="132"/>
    </row>
    <row r="176" spans="1:6" s="9" customFormat="1" ht="13.5" hidden="1">
      <c r="A176" s="105" t="s">
        <v>100</v>
      </c>
      <c r="B176" s="105" t="s">
        <v>7</v>
      </c>
      <c r="C176" s="821">
        <v>45000</v>
      </c>
      <c r="D176" s="159"/>
      <c r="E176" s="126"/>
      <c r="F176" s="132"/>
    </row>
    <row r="177" spans="1:6" s="9" customFormat="1" ht="13.5" customHeight="1" thickBot="1">
      <c r="A177" s="105"/>
      <c r="B177" s="105"/>
      <c r="C177" s="24"/>
      <c r="D177" s="159"/>
      <c r="E177" s="126"/>
      <c r="F177" s="132"/>
    </row>
    <row r="178" spans="1:6" s="9" customFormat="1" ht="13.5" customHeight="1" thickBot="1">
      <c r="A178" s="951" t="s">
        <v>4</v>
      </c>
      <c r="B178" s="952"/>
      <c r="C178" s="32">
        <f>C179+C183+C181</f>
        <v>68700</v>
      </c>
      <c r="D178" s="159"/>
      <c r="E178" s="126"/>
      <c r="F178" s="132"/>
    </row>
    <row r="179" spans="1:6" s="9" customFormat="1" ht="13.5" customHeight="1">
      <c r="A179" s="353" t="s">
        <v>126</v>
      </c>
      <c r="B179" s="404" t="s">
        <v>127</v>
      </c>
      <c r="C179" s="34">
        <f>SUM(C180:C182)</f>
        <v>48700</v>
      </c>
      <c r="D179" s="159"/>
      <c r="E179" s="126"/>
      <c r="F179" s="132"/>
    </row>
    <row r="180" spans="1:6" s="9" customFormat="1" ht="13.5" customHeight="1" hidden="1">
      <c r="A180" s="107" t="s">
        <v>101</v>
      </c>
      <c r="B180" s="57" t="s">
        <v>152</v>
      </c>
      <c r="C180" s="821">
        <v>19700</v>
      </c>
      <c r="D180" s="159"/>
      <c r="E180" s="126"/>
      <c r="F180" s="132"/>
    </row>
    <row r="181" spans="1:6" s="9" customFormat="1" ht="13.5" customHeight="1">
      <c r="A181" s="353" t="s">
        <v>142</v>
      </c>
      <c r="B181" s="353" t="s">
        <v>371</v>
      </c>
      <c r="C181" s="33">
        <f>SUM(C182)</f>
        <v>14500</v>
      </c>
      <c r="D181" s="159"/>
      <c r="E181" s="126"/>
      <c r="F181" s="132"/>
    </row>
    <row r="182" spans="1:6" s="9" customFormat="1" ht="13.5" customHeight="1" hidden="1">
      <c r="A182" s="107" t="s">
        <v>185</v>
      </c>
      <c r="B182" s="107" t="s">
        <v>371</v>
      </c>
      <c r="C182" s="821">
        <v>14500</v>
      </c>
      <c r="D182" s="159"/>
      <c r="E182" s="126"/>
      <c r="F182" s="132"/>
    </row>
    <row r="183" spans="1:6" s="57" customFormat="1" ht="13.5">
      <c r="A183" s="353" t="s">
        <v>188</v>
      </c>
      <c r="B183" s="26" t="s">
        <v>145</v>
      </c>
      <c r="C183" s="33">
        <f>SUM(C184)</f>
        <v>5500</v>
      </c>
      <c r="D183" s="160"/>
      <c r="E183" s="125"/>
      <c r="F183" s="135"/>
    </row>
    <row r="184" spans="1:6" s="100" customFormat="1" ht="13.5" hidden="1">
      <c r="A184" s="107" t="s">
        <v>189</v>
      </c>
      <c r="B184" s="24" t="s">
        <v>56</v>
      </c>
      <c r="C184" s="821">
        <v>5500</v>
      </c>
      <c r="D184" s="159"/>
      <c r="E184" s="126"/>
      <c r="F184" s="132"/>
    </row>
    <row r="185" spans="1:6" s="100" customFormat="1" ht="13.5">
      <c r="A185" s="13"/>
      <c r="B185" s="25"/>
      <c r="C185" s="25"/>
      <c r="D185" s="159"/>
      <c r="E185" s="126"/>
      <c r="F185" s="132"/>
    </row>
    <row r="186" spans="1:6" s="68" customFormat="1" ht="14.25" thickBot="1">
      <c r="A186" s="105"/>
      <c r="B186" s="105"/>
      <c r="C186" s="101"/>
      <c r="D186" s="94"/>
      <c r="E186" s="94"/>
      <c r="F186" s="94"/>
    </row>
    <row r="187" spans="1:6" s="7" customFormat="1" ht="13.5">
      <c r="A187" s="64" t="s">
        <v>147</v>
      </c>
      <c r="B187" s="65"/>
      <c r="C187" s="65"/>
      <c r="D187" s="67" t="s">
        <v>6</v>
      </c>
      <c r="E187" s="44">
        <v>1004</v>
      </c>
      <c r="F187" s="129"/>
    </row>
    <row r="188" spans="1:6" s="7" customFormat="1" ht="14.25" thickBot="1">
      <c r="A188" s="49"/>
      <c r="B188" s="119"/>
      <c r="C188" s="119"/>
      <c r="D188" s="121"/>
      <c r="E188" s="120"/>
      <c r="F188" s="129"/>
    </row>
    <row r="189" spans="1:6" s="7" customFormat="1" ht="13.5">
      <c r="A189" s="64" t="s">
        <v>1200</v>
      </c>
      <c r="B189" s="65"/>
      <c r="C189" s="170"/>
      <c r="D189" s="157"/>
      <c r="E189" s="158"/>
      <c r="F189" s="129"/>
    </row>
    <row r="190" spans="1:6" s="7" customFormat="1" ht="13.5">
      <c r="A190" s="45" t="s">
        <v>1201</v>
      </c>
      <c r="B190" s="172"/>
      <c r="C190" s="70"/>
      <c r="D190" s="47"/>
      <c r="E190" s="48"/>
      <c r="F190" s="129"/>
    </row>
    <row r="191" spans="1:6" s="7" customFormat="1" ht="14.25" thickBot="1">
      <c r="A191" s="49" t="s">
        <v>1202</v>
      </c>
      <c r="B191" s="119"/>
      <c r="C191" s="171"/>
      <c r="D191" s="50"/>
      <c r="E191" s="51"/>
      <c r="F191" s="129"/>
    </row>
    <row r="192" spans="1:6" s="7" customFormat="1" ht="13.5">
      <c r="A192" s="52" t="s">
        <v>1365</v>
      </c>
      <c r="B192" s="60"/>
      <c r="C192" s="33"/>
      <c r="D192" s="34"/>
      <c r="E192" s="53"/>
      <c r="F192" s="129"/>
    </row>
    <row r="193" spans="1:6" s="7" customFormat="1" ht="13.5">
      <c r="A193" s="52" t="s">
        <v>10</v>
      </c>
      <c r="B193" s="60"/>
      <c r="C193" s="33"/>
      <c r="D193" s="34"/>
      <c r="E193" s="53"/>
      <c r="F193" s="129"/>
    </row>
    <row r="194" spans="1:6" s="7" customFormat="1" ht="13.5">
      <c r="A194" s="52" t="s">
        <v>1430</v>
      </c>
      <c r="B194" s="33"/>
      <c r="C194" s="33"/>
      <c r="D194" s="34"/>
      <c r="E194" s="53"/>
      <c r="F194" s="129"/>
    </row>
    <row r="195" spans="1:6" s="7" customFormat="1" ht="14.25" thickBot="1">
      <c r="A195" s="111" t="s">
        <v>11</v>
      </c>
      <c r="B195" s="61"/>
      <c r="C195" s="62"/>
      <c r="D195" s="63"/>
      <c r="E195" s="112"/>
      <c r="F195" s="129"/>
    </row>
    <row r="196" spans="1:6" s="7" customFormat="1" ht="14.25" thickBot="1">
      <c r="A196" s="113" t="s">
        <v>0</v>
      </c>
      <c r="B196" s="62"/>
      <c r="C196" s="62"/>
      <c r="D196" s="114"/>
      <c r="E196" s="112">
        <f>C198+C204+C210</f>
        <v>17537143</v>
      </c>
      <c r="F196" s="129"/>
    </row>
    <row r="197" spans="1:6" s="7" customFormat="1" ht="14.25" thickBot="1">
      <c r="A197" s="12"/>
      <c r="B197" s="33"/>
      <c r="C197" s="33"/>
      <c r="D197" s="34"/>
      <c r="E197" s="59"/>
      <c r="F197" s="129"/>
    </row>
    <row r="198" spans="1:6" s="7" customFormat="1" ht="14.25" thickBot="1">
      <c r="A198" s="955" t="s">
        <v>2</v>
      </c>
      <c r="B198" s="956"/>
      <c r="C198" s="97">
        <f>C199+C201</f>
        <v>125000</v>
      </c>
      <c r="D198" s="144"/>
      <c r="E198" s="39"/>
      <c r="F198" s="129"/>
    </row>
    <row r="199" spans="1:6" s="7" customFormat="1" ht="13.5">
      <c r="A199" s="12" t="s">
        <v>113</v>
      </c>
      <c r="B199" s="286" t="s">
        <v>114</v>
      </c>
      <c r="C199" s="33">
        <f>SUM(C200)</f>
        <v>100000</v>
      </c>
      <c r="D199" s="144"/>
      <c r="E199" s="39"/>
      <c r="F199" s="129"/>
    </row>
    <row r="200" spans="1:6" s="7" customFormat="1" ht="13.5" hidden="1">
      <c r="A200" s="13" t="s">
        <v>50</v>
      </c>
      <c r="B200" s="9" t="s">
        <v>49</v>
      </c>
      <c r="C200" s="821">
        <v>100000</v>
      </c>
      <c r="D200" s="144"/>
      <c r="E200" s="39"/>
      <c r="F200" s="129"/>
    </row>
    <row r="201" spans="1:6" s="14" customFormat="1" ht="13.5">
      <c r="A201" s="353" t="s">
        <v>169</v>
      </c>
      <c r="B201" s="26" t="s">
        <v>144</v>
      </c>
      <c r="C201" s="96">
        <f>SUM(C202)</f>
        <v>25000</v>
      </c>
      <c r="D201" s="145"/>
      <c r="E201" s="141"/>
      <c r="F201" s="130"/>
    </row>
    <row r="202" spans="1:6" s="9" customFormat="1" ht="13.5" hidden="1">
      <c r="A202" s="107" t="s">
        <v>173</v>
      </c>
      <c r="B202" s="24" t="s">
        <v>144</v>
      </c>
      <c r="C202" s="822">
        <v>25000</v>
      </c>
      <c r="D202" s="138"/>
      <c r="E202" s="125"/>
      <c r="F202" s="132"/>
    </row>
    <row r="203" spans="1:6" s="9" customFormat="1" ht="14.25" thickBot="1">
      <c r="A203" s="107"/>
      <c r="B203" s="24"/>
      <c r="C203" s="101"/>
      <c r="D203" s="146"/>
      <c r="E203" s="125"/>
      <c r="F203" s="132"/>
    </row>
    <row r="204" spans="1:6" s="9" customFormat="1" ht="14.25" thickBot="1">
      <c r="A204" s="949" t="s">
        <v>3</v>
      </c>
      <c r="B204" s="950"/>
      <c r="C204" s="122">
        <f>C205+C207</f>
        <v>261209</v>
      </c>
      <c r="D204" s="147"/>
      <c r="E204" s="139"/>
      <c r="F204" s="132"/>
    </row>
    <row r="205" spans="1:6" s="57" customFormat="1" ht="13.5">
      <c r="A205" s="493" t="s">
        <v>123</v>
      </c>
      <c r="B205" s="404" t="s">
        <v>124</v>
      </c>
      <c r="C205" s="834">
        <f>SUM(C206)</f>
        <v>175709</v>
      </c>
      <c r="D205" s="118"/>
      <c r="E205" s="117"/>
      <c r="F205" s="135"/>
    </row>
    <row r="206" spans="1:6" s="9" customFormat="1" ht="13.5" hidden="1">
      <c r="A206" s="69" t="s">
        <v>184</v>
      </c>
      <c r="B206" s="57" t="s">
        <v>83</v>
      </c>
      <c r="C206" s="833">
        <f>12202*12*1.2+0.2</f>
        <v>175709</v>
      </c>
      <c r="D206" s="118"/>
      <c r="F206" s="117"/>
    </row>
    <row r="207" spans="1:6" s="9" customFormat="1" ht="13.5">
      <c r="A207" s="813" t="s">
        <v>125</v>
      </c>
      <c r="B207" s="813" t="s">
        <v>8</v>
      </c>
      <c r="C207" s="26">
        <f>SUM(C208:C209)</f>
        <v>85500</v>
      </c>
      <c r="D207" s="118"/>
      <c r="E207" s="117"/>
      <c r="F207" s="132"/>
    </row>
    <row r="208" spans="1:6" s="9" customFormat="1" ht="13.5" hidden="1">
      <c r="A208" s="105" t="s">
        <v>99</v>
      </c>
      <c r="B208" s="105" t="s">
        <v>8</v>
      </c>
      <c r="C208" s="821">
        <v>85500</v>
      </c>
      <c r="D208" s="118"/>
      <c r="E208" s="117"/>
      <c r="F208" s="132"/>
    </row>
    <row r="209" spans="1:6" s="9" customFormat="1" ht="14.25" thickBot="1">
      <c r="A209" s="69"/>
      <c r="B209" s="57"/>
      <c r="C209" s="143"/>
      <c r="D209" s="118"/>
      <c r="E209" s="117"/>
      <c r="F209" s="132"/>
    </row>
    <row r="210" spans="1:6" s="9" customFormat="1" ht="14.25" thickBot="1">
      <c r="A210" s="953" t="s">
        <v>5</v>
      </c>
      <c r="B210" s="954"/>
      <c r="C210" s="37">
        <f>C211+C218</f>
        <v>17150934</v>
      </c>
      <c r="D210" s="115"/>
      <c r="E210" s="126"/>
      <c r="F210" s="132"/>
    </row>
    <row r="211" spans="1:6" s="57" customFormat="1" ht="13.5">
      <c r="A211" s="353" t="s">
        <v>137</v>
      </c>
      <c r="B211" s="404" t="s">
        <v>138</v>
      </c>
      <c r="C211" s="33">
        <f>SUM(C212:C217)</f>
        <v>15700934</v>
      </c>
      <c r="D211" s="149"/>
      <c r="E211" s="71"/>
      <c r="F211" s="135"/>
    </row>
    <row r="212" spans="1:6" s="9" customFormat="1" ht="13.5" hidden="1">
      <c r="A212" s="107" t="s">
        <v>64</v>
      </c>
      <c r="B212" s="24" t="s">
        <v>19</v>
      </c>
      <c r="C212" s="821">
        <f>680400+100000</f>
        <v>780400</v>
      </c>
      <c r="E212" s="126"/>
      <c r="F212" s="116"/>
    </row>
    <row r="213" spans="1:6" s="9" customFormat="1" ht="13.5" hidden="1">
      <c r="A213" s="107" t="s">
        <v>65</v>
      </c>
      <c r="B213" s="127" t="s">
        <v>20</v>
      </c>
      <c r="C213" s="821">
        <f>580000*12+3129189+601948+56000*12-580000</f>
        <v>10783137</v>
      </c>
      <c r="E213" s="57"/>
      <c r="F213" s="150"/>
    </row>
    <row r="214" spans="1:6" s="9" customFormat="1" ht="13.5" hidden="1">
      <c r="A214" s="107" t="s">
        <v>66</v>
      </c>
      <c r="B214" s="24" t="s">
        <v>21</v>
      </c>
      <c r="C214" s="821">
        <f>0.5*'Ingresos-2016'!L21-0.5-0.5</f>
        <v>1307397</v>
      </c>
      <c r="E214" s="57"/>
      <c r="F214" s="71"/>
    </row>
    <row r="215" spans="1:8" s="9" customFormat="1" ht="13.5" hidden="1">
      <c r="A215" s="107" t="s">
        <v>285</v>
      </c>
      <c r="B215" s="107" t="s">
        <v>284</v>
      </c>
      <c r="C215" s="821">
        <f>(1250000+550000+530000)*1</f>
        <v>2330000</v>
      </c>
      <c r="E215" s="123"/>
      <c r="F215" s="116"/>
      <c r="G215" s="71"/>
      <c r="H215" s="57"/>
    </row>
    <row r="216" spans="1:10" s="9" customFormat="1" ht="13.5" hidden="1">
      <c r="A216" s="107" t="s">
        <v>68</v>
      </c>
      <c r="B216" s="25" t="s">
        <v>67</v>
      </c>
      <c r="C216" s="821">
        <v>200000</v>
      </c>
      <c r="E216" s="125"/>
      <c r="F216" s="137"/>
      <c r="G216" s="71"/>
      <c r="H216" s="57"/>
      <c r="I216" s="57"/>
      <c r="J216" s="57"/>
    </row>
    <row r="217" spans="1:10" s="57" customFormat="1" ht="13.5" hidden="1">
      <c r="A217" s="107" t="s">
        <v>1161</v>
      </c>
      <c r="B217" s="57" t="s">
        <v>1162</v>
      </c>
      <c r="C217" s="821">
        <v>300000</v>
      </c>
      <c r="F217" s="71"/>
      <c r="G217" s="9"/>
      <c r="H217" s="9"/>
      <c r="I217" s="9"/>
      <c r="J217" s="9"/>
    </row>
    <row r="218" spans="1:8" s="9" customFormat="1" ht="13.5">
      <c r="A218" s="353" t="s">
        <v>139</v>
      </c>
      <c r="B218" s="353" t="s">
        <v>140</v>
      </c>
      <c r="C218" s="33">
        <f>SUM(C219:C222)</f>
        <v>1450000</v>
      </c>
      <c r="E218" s="125"/>
      <c r="F218" s="137"/>
      <c r="G218" s="71"/>
      <c r="H218" s="57"/>
    </row>
    <row r="219" spans="1:8" s="9" customFormat="1" ht="13.5" hidden="1">
      <c r="A219" s="107" t="s">
        <v>303</v>
      </c>
      <c r="B219" s="24" t="s">
        <v>304</v>
      </c>
      <c r="C219" s="821">
        <v>300000</v>
      </c>
      <c r="E219" s="125"/>
      <c r="F219" s="137"/>
      <c r="G219" s="71"/>
      <c r="H219" s="57"/>
    </row>
    <row r="220" spans="1:8" s="9" customFormat="1" ht="13.5" hidden="1">
      <c r="A220" s="107" t="s">
        <v>160</v>
      </c>
      <c r="B220" s="57" t="s">
        <v>161</v>
      </c>
      <c r="C220" s="821">
        <v>700000</v>
      </c>
      <c r="D220" s="137"/>
      <c r="E220" s="125"/>
      <c r="F220" s="135"/>
      <c r="G220" s="71"/>
      <c r="H220" s="57"/>
    </row>
    <row r="221" spans="1:8" s="9" customFormat="1" ht="13.5" hidden="1">
      <c r="A221" s="107" t="s">
        <v>159</v>
      </c>
      <c r="B221" s="57" t="s">
        <v>158</v>
      </c>
      <c r="C221" s="821">
        <v>150000</v>
      </c>
      <c r="D221" s="116"/>
      <c r="E221" s="126"/>
      <c r="F221" s="135"/>
      <c r="G221" s="71"/>
      <c r="H221" s="57"/>
    </row>
    <row r="222" spans="1:6" s="9" customFormat="1" ht="13.5" hidden="1">
      <c r="A222" s="107" t="s">
        <v>157</v>
      </c>
      <c r="B222" s="25" t="s">
        <v>12</v>
      </c>
      <c r="C222" s="821">
        <v>300000</v>
      </c>
      <c r="D222" s="115"/>
      <c r="E222" s="126"/>
      <c r="F222" s="132"/>
    </row>
    <row r="223" spans="1:6" s="9" customFormat="1" ht="13.5">
      <c r="A223" s="13"/>
      <c r="B223" s="25"/>
      <c r="C223" s="25"/>
      <c r="D223" s="115"/>
      <c r="E223" s="126"/>
      <c r="F223" s="132"/>
    </row>
    <row r="224" spans="2:6" s="7" customFormat="1" ht="13.5">
      <c r="B224" s="30"/>
      <c r="C224" s="30"/>
      <c r="D224" s="31"/>
      <c r="E224" s="35"/>
      <c r="F224" s="129"/>
    </row>
    <row r="225" spans="2:6" s="7" customFormat="1" ht="13.5">
      <c r="B225" s="30"/>
      <c r="C225" s="30"/>
      <c r="D225" s="31"/>
      <c r="E225" s="35"/>
      <c r="F225" s="129"/>
    </row>
    <row r="226" spans="2:6" s="7" customFormat="1" ht="13.5">
      <c r="B226" s="30"/>
      <c r="C226" s="30"/>
      <c r="D226" s="31"/>
      <c r="E226" s="35"/>
      <c r="F226" s="129"/>
    </row>
    <row r="227" spans="2:6" s="7" customFormat="1" ht="13.5">
      <c r="B227" s="30"/>
      <c r="C227" s="30"/>
      <c r="D227" s="31"/>
      <c r="E227" s="35"/>
      <c r="F227" s="129"/>
    </row>
    <row r="228" spans="2:6" s="7" customFormat="1" ht="13.5">
      <c r="B228" s="30"/>
      <c r="C228" s="30"/>
      <c r="D228" s="31"/>
      <c r="E228" s="35"/>
      <c r="F228" s="129"/>
    </row>
    <row r="229" spans="2:6" s="7" customFormat="1" ht="13.5">
      <c r="B229" s="30"/>
      <c r="C229" s="30"/>
      <c r="D229" s="31"/>
      <c r="E229" s="35"/>
      <c r="F229" s="129"/>
    </row>
    <row r="230" spans="2:6" s="7" customFormat="1" ht="13.5">
      <c r="B230" s="30"/>
      <c r="C230" s="30"/>
      <c r="D230" s="31"/>
      <c r="E230" s="35"/>
      <c r="F230" s="129"/>
    </row>
    <row r="231" spans="2:6" s="7" customFormat="1" ht="13.5">
      <c r="B231" s="30"/>
      <c r="C231" s="30"/>
      <c r="D231" s="31"/>
      <c r="E231" s="35"/>
      <c r="F231" s="129"/>
    </row>
    <row r="232" spans="2:6" s="7" customFormat="1" ht="13.5">
      <c r="B232" s="30"/>
      <c r="C232" s="30"/>
      <c r="D232" s="31"/>
      <c r="E232" s="35"/>
      <c r="F232" s="129"/>
    </row>
    <row r="233" spans="2:6" s="7" customFormat="1" ht="13.5">
      <c r="B233" s="30"/>
      <c r="C233" s="30"/>
      <c r="D233" s="31"/>
      <c r="E233" s="35"/>
      <c r="F233" s="129"/>
    </row>
    <row r="234" spans="2:6" s="7" customFormat="1" ht="13.5">
      <c r="B234" s="30"/>
      <c r="C234" s="30"/>
      <c r="D234" s="31"/>
      <c r="E234" s="35"/>
      <c r="F234" s="129"/>
    </row>
    <row r="235" spans="2:6" s="7" customFormat="1" ht="13.5">
      <c r="B235" s="30"/>
      <c r="C235" s="30"/>
      <c r="D235" s="31"/>
      <c r="E235" s="35"/>
      <c r="F235" s="129"/>
    </row>
    <row r="236" spans="2:6" s="7" customFormat="1" ht="13.5">
      <c r="B236" s="30"/>
      <c r="C236" s="30"/>
      <c r="D236" s="31"/>
      <c r="E236" s="35"/>
      <c r="F236" s="129"/>
    </row>
    <row r="237" spans="2:6" s="7" customFormat="1" ht="13.5">
      <c r="B237" s="30"/>
      <c r="C237" s="30"/>
      <c r="D237" s="31"/>
      <c r="E237" s="35"/>
      <c r="F237" s="129"/>
    </row>
    <row r="238" spans="2:6" s="7" customFormat="1" ht="13.5">
      <c r="B238" s="30"/>
      <c r="C238" s="30"/>
      <c r="D238" s="31"/>
      <c r="E238" s="35"/>
      <c r="F238" s="129"/>
    </row>
    <row r="239" spans="2:6" s="7" customFormat="1" ht="13.5">
      <c r="B239" s="30"/>
      <c r="C239" s="30"/>
      <c r="D239" s="31"/>
      <c r="E239" s="35"/>
      <c r="F239" s="129"/>
    </row>
    <row r="240" spans="2:6" s="7" customFormat="1" ht="13.5">
      <c r="B240" s="30"/>
      <c r="C240" s="30"/>
      <c r="D240" s="31"/>
      <c r="E240" s="35"/>
      <c r="F240" s="129"/>
    </row>
    <row r="241" spans="2:6" s="7" customFormat="1" ht="13.5">
      <c r="B241" s="30"/>
      <c r="C241" s="30"/>
      <c r="D241" s="31"/>
      <c r="E241" s="35"/>
      <c r="F241" s="129"/>
    </row>
    <row r="242" spans="2:6" s="7" customFormat="1" ht="13.5">
      <c r="B242" s="30"/>
      <c r="C242" s="30"/>
      <c r="D242" s="31"/>
      <c r="E242" s="35"/>
      <c r="F242" s="129"/>
    </row>
    <row r="243" spans="2:6" s="7" customFormat="1" ht="13.5">
      <c r="B243" s="30"/>
      <c r="C243" s="30"/>
      <c r="D243" s="31"/>
      <c r="E243" s="35"/>
      <c r="F243" s="129"/>
    </row>
    <row r="244" spans="2:6" s="7" customFormat="1" ht="13.5">
      <c r="B244" s="30"/>
      <c r="C244" s="30"/>
      <c r="D244" s="31"/>
      <c r="E244" s="35"/>
      <c r="F244" s="129"/>
    </row>
    <row r="245" spans="2:6" s="7" customFormat="1" ht="13.5">
      <c r="B245" s="30"/>
      <c r="C245" s="30"/>
      <c r="D245" s="31"/>
      <c r="E245" s="35"/>
      <c r="F245" s="129"/>
    </row>
    <row r="246" spans="2:6" s="7" customFormat="1" ht="13.5">
      <c r="B246" s="30"/>
      <c r="C246" s="30"/>
      <c r="D246" s="31"/>
      <c r="E246" s="35"/>
      <c r="F246" s="129"/>
    </row>
    <row r="247" spans="2:6" s="7" customFormat="1" ht="13.5">
      <c r="B247" s="30"/>
      <c r="C247" s="30"/>
      <c r="D247" s="31"/>
      <c r="E247" s="35"/>
      <c r="F247" s="129"/>
    </row>
    <row r="248" spans="2:6" s="7" customFormat="1" ht="13.5">
      <c r="B248" s="30"/>
      <c r="C248" s="30"/>
      <c r="D248" s="31"/>
      <c r="E248" s="35"/>
      <c r="F248" s="129"/>
    </row>
    <row r="249" spans="2:6" s="7" customFormat="1" ht="13.5">
      <c r="B249" s="30"/>
      <c r="C249" s="30"/>
      <c r="D249" s="31"/>
      <c r="E249" s="35"/>
      <c r="F249" s="129"/>
    </row>
    <row r="250" spans="2:6" s="7" customFormat="1" ht="13.5">
      <c r="B250" s="30"/>
      <c r="C250" s="30"/>
      <c r="D250" s="31"/>
      <c r="E250" s="35"/>
      <c r="F250" s="129"/>
    </row>
    <row r="251" spans="2:6" s="7" customFormat="1" ht="13.5">
      <c r="B251" s="30"/>
      <c r="C251" s="30"/>
      <c r="D251" s="31"/>
      <c r="E251" s="35"/>
      <c r="F251" s="129"/>
    </row>
    <row r="252" spans="2:6" s="7" customFormat="1" ht="13.5">
      <c r="B252" s="30"/>
      <c r="C252" s="30"/>
      <c r="D252" s="31"/>
      <c r="E252" s="35"/>
      <c r="F252" s="129"/>
    </row>
    <row r="253" spans="2:6" s="7" customFormat="1" ht="13.5">
      <c r="B253" s="30"/>
      <c r="C253" s="30"/>
      <c r="D253" s="31"/>
      <c r="E253" s="35"/>
      <c r="F253" s="129"/>
    </row>
    <row r="254" spans="2:6" s="7" customFormat="1" ht="13.5">
      <c r="B254" s="30"/>
      <c r="C254" s="30"/>
      <c r="D254" s="31"/>
      <c r="E254" s="35"/>
      <c r="F254" s="129"/>
    </row>
    <row r="255" spans="2:6" s="7" customFormat="1" ht="13.5">
      <c r="B255" s="30"/>
      <c r="C255" s="30"/>
      <c r="D255" s="31"/>
      <c r="E255" s="35"/>
      <c r="F255" s="129"/>
    </row>
    <row r="256" spans="2:6" s="7" customFormat="1" ht="13.5">
      <c r="B256" s="30"/>
      <c r="C256" s="30"/>
      <c r="D256" s="31"/>
      <c r="E256" s="35"/>
      <c r="F256" s="129"/>
    </row>
    <row r="257" spans="2:6" s="7" customFormat="1" ht="13.5">
      <c r="B257" s="30"/>
      <c r="C257" s="30"/>
      <c r="D257" s="31"/>
      <c r="E257" s="35"/>
      <c r="F257" s="129"/>
    </row>
    <row r="258" spans="2:6" s="7" customFormat="1" ht="13.5">
      <c r="B258" s="30"/>
      <c r="C258" s="30"/>
      <c r="D258" s="31"/>
      <c r="E258" s="35"/>
      <c r="F258" s="129"/>
    </row>
    <row r="259" spans="2:6" s="7" customFormat="1" ht="13.5">
      <c r="B259" s="30"/>
      <c r="C259" s="30"/>
      <c r="D259" s="31"/>
      <c r="E259" s="35"/>
      <c r="F259" s="129"/>
    </row>
    <row r="260" spans="2:6" s="7" customFormat="1" ht="13.5">
      <c r="B260" s="30"/>
      <c r="C260" s="30"/>
      <c r="D260" s="31"/>
      <c r="E260" s="35"/>
      <c r="F260" s="129"/>
    </row>
    <row r="261" spans="2:6" s="7" customFormat="1" ht="13.5">
      <c r="B261" s="30"/>
      <c r="C261" s="30"/>
      <c r="D261" s="31"/>
      <c r="E261" s="35"/>
      <c r="F261" s="129"/>
    </row>
    <row r="262" spans="2:6" s="7" customFormat="1" ht="13.5">
      <c r="B262" s="30"/>
      <c r="C262" s="30"/>
      <c r="D262" s="31"/>
      <c r="E262" s="35"/>
      <c r="F262" s="129"/>
    </row>
    <row r="263" spans="2:6" s="7" customFormat="1" ht="13.5">
      <c r="B263" s="30"/>
      <c r="C263" s="30"/>
      <c r="D263" s="31"/>
      <c r="E263" s="35"/>
      <c r="F263" s="129"/>
    </row>
    <row r="264" spans="2:6" s="7" customFormat="1" ht="13.5">
      <c r="B264" s="30"/>
      <c r="C264" s="30"/>
      <c r="D264" s="31"/>
      <c r="E264" s="35"/>
      <c r="F264" s="129"/>
    </row>
    <row r="265" spans="2:6" s="7" customFormat="1" ht="13.5">
      <c r="B265" s="30"/>
      <c r="C265" s="30"/>
      <c r="D265" s="31"/>
      <c r="E265" s="35"/>
      <c r="F265" s="129"/>
    </row>
    <row r="266" spans="2:6" s="7" customFormat="1" ht="13.5">
      <c r="B266" s="30"/>
      <c r="C266" s="30"/>
      <c r="D266" s="31"/>
      <c r="E266" s="35"/>
      <c r="F266" s="129"/>
    </row>
    <row r="267" spans="2:6" s="7" customFormat="1" ht="13.5">
      <c r="B267" s="30"/>
      <c r="C267" s="30"/>
      <c r="D267" s="31"/>
      <c r="E267" s="35"/>
      <c r="F267" s="129"/>
    </row>
    <row r="268" spans="2:6" s="7" customFormat="1" ht="13.5">
      <c r="B268" s="30"/>
      <c r="C268" s="30"/>
      <c r="D268" s="31"/>
      <c r="E268" s="35"/>
      <c r="F268" s="129"/>
    </row>
    <row r="269" spans="2:6" s="7" customFormat="1" ht="13.5">
      <c r="B269" s="30"/>
      <c r="C269" s="30"/>
      <c r="D269" s="31"/>
      <c r="E269" s="35"/>
      <c r="F269" s="129"/>
    </row>
    <row r="270" spans="2:6" s="7" customFormat="1" ht="13.5">
      <c r="B270" s="30"/>
      <c r="C270" s="30"/>
      <c r="D270" s="31"/>
      <c r="E270" s="35"/>
      <c r="F270" s="129"/>
    </row>
    <row r="271" spans="2:6" s="7" customFormat="1" ht="13.5">
      <c r="B271" s="30"/>
      <c r="C271" s="30"/>
      <c r="D271" s="31"/>
      <c r="E271" s="35"/>
      <c r="F271" s="129"/>
    </row>
    <row r="272" spans="2:6" s="7" customFormat="1" ht="13.5">
      <c r="B272" s="30"/>
      <c r="C272" s="30"/>
      <c r="D272" s="31"/>
      <c r="E272" s="35"/>
      <c r="F272" s="129"/>
    </row>
    <row r="273" spans="2:6" s="7" customFormat="1" ht="13.5">
      <c r="B273" s="30"/>
      <c r="C273" s="30"/>
      <c r="D273" s="31"/>
      <c r="E273" s="35"/>
      <c r="F273" s="129"/>
    </row>
    <row r="274" spans="2:6" s="7" customFormat="1" ht="13.5">
      <c r="B274" s="30"/>
      <c r="C274" s="30"/>
      <c r="D274" s="31"/>
      <c r="E274" s="35"/>
      <c r="F274" s="129"/>
    </row>
    <row r="275" spans="2:6" s="7" customFormat="1" ht="13.5">
      <c r="B275" s="30"/>
      <c r="C275" s="30"/>
      <c r="D275" s="31"/>
      <c r="E275" s="35"/>
      <c r="F275" s="129"/>
    </row>
    <row r="276" spans="2:6" s="7" customFormat="1" ht="13.5">
      <c r="B276" s="30"/>
      <c r="C276" s="30"/>
      <c r="D276" s="31"/>
      <c r="E276" s="35"/>
      <c r="F276" s="129"/>
    </row>
    <row r="277" spans="2:6" s="7" customFormat="1" ht="13.5">
      <c r="B277" s="30"/>
      <c r="C277" s="30"/>
      <c r="D277" s="31"/>
      <c r="E277" s="35"/>
      <c r="F277" s="129"/>
    </row>
    <row r="278" spans="2:6" s="7" customFormat="1" ht="13.5">
      <c r="B278" s="30"/>
      <c r="C278" s="30"/>
      <c r="D278" s="31"/>
      <c r="E278" s="35"/>
      <c r="F278" s="129"/>
    </row>
    <row r="279" spans="2:6" s="7" customFormat="1" ht="13.5">
      <c r="B279" s="30"/>
      <c r="C279" s="30"/>
      <c r="D279" s="31"/>
      <c r="E279" s="35"/>
      <c r="F279" s="129"/>
    </row>
    <row r="280" spans="2:6" s="7" customFormat="1" ht="13.5">
      <c r="B280" s="30"/>
      <c r="C280" s="30"/>
      <c r="D280" s="31"/>
      <c r="E280" s="35"/>
      <c r="F280" s="129"/>
    </row>
    <row r="281" spans="2:6" s="7" customFormat="1" ht="13.5">
      <c r="B281" s="30"/>
      <c r="C281" s="30"/>
      <c r="D281" s="31"/>
      <c r="E281" s="35"/>
      <c r="F281" s="129"/>
    </row>
    <row r="282" spans="2:6" s="7" customFormat="1" ht="13.5">
      <c r="B282" s="30"/>
      <c r="C282" s="30"/>
      <c r="D282" s="31"/>
      <c r="E282" s="35"/>
      <c r="F282" s="129"/>
    </row>
    <row r="283" spans="2:6" s="7" customFormat="1" ht="13.5">
      <c r="B283" s="30"/>
      <c r="C283" s="30"/>
      <c r="D283" s="31"/>
      <c r="E283" s="35"/>
      <c r="F283" s="129"/>
    </row>
    <row r="284" spans="2:6" s="7" customFormat="1" ht="13.5">
      <c r="B284" s="30"/>
      <c r="C284" s="30"/>
      <c r="D284" s="31"/>
      <c r="E284" s="35"/>
      <c r="F284" s="129"/>
    </row>
    <row r="285" spans="2:6" s="7" customFormat="1" ht="13.5">
      <c r="B285" s="30"/>
      <c r="C285" s="30"/>
      <c r="D285" s="31"/>
      <c r="E285" s="35"/>
      <c r="F285" s="129"/>
    </row>
    <row r="286" spans="2:6" s="7" customFormat="1" ht="13.5">
      <c r="B286" s="30"/>
      <c r="C286" s="30"/>
      <c r="D286" s="31"/>
      <c r="E286" s="35"/>
      <c r="F286" s="129"/>
    </row>
    <row r="287" spans="2:6" s="7" customFormat="1" ht="13.5">
      <c r="B287" s="30"/>
      <c r="C287" s="30"/>
      <c r="D287" s="31"/>
      <c r="E287" s="35"/>
      <c r="F287" s="129"/>
    </row>
    <row r="288" spans="2:6" s="7" customFormat="1" ht="13.5">
      <c r="B288" s="30"/>
      <c r="C288" s="30"/>
      <c r="D288" s="31"/>
      <c r="E288" s="35"/>
      <c r="F288" s="129"/>
    </row>
    <row r="289" spans="2:6" s="7" customFormat="1" ht="13.5">
      <c r="B289" s="30"/>
      <c r="C289" s="30"/>
      <c r="D289" s="31"/>
      <c r="E289" s="35"/>
      <c r="F289" s="129"/>
    </row>
    <row r="290" spans="2:6" s="7" customFormat="1" ht="13.5">
      <c r="B290" s="30"/>
      <c r="C290" s="30"/>
      <c r="D290" s="31"/>
      <c r="E290" s="35"/>
      <c r="F290" s="129"/>
    </row>
    <row r="291" spans="2:6" s="7" customFormat="1" ht="13.5">
      <c r="B291" s="30"/>
      <c r="C291" s="30"/>
      <c r="D291" s="31"/>
      <c r="E291" s="35"/>
      <c r="F291" s="129"/>
    </row>
    <row r="292" spans="2:6" s="7" customFormat="1" ht="13.5">
      <c r="B292" s="30"/>
      <c r="C292" s="30"/>
      <c r="D292" s="31"/>
      <c r="E292" s="35"/>
      <c r="F292" s="129"/>
    </row>
    <row r="293" spans="2:6" s="7" customFormat="1" ht="13.5">
      <c r="B293" s="30"/>
      <c r="C293" s="30"/>
      <c r="D293" s="31"/>
      <c r="E293" s="35"/>
      <c r="F293" s="129"/>
    </row>
    <row r="294" spans="2:6" s="7" customFormat="1" ht="13.5">
      <c r="B294" s="30"/>
      <c r="C294" s="30"/>
      <c r="D294" s="31"/>
      <c r="E294" s="35"/>
      <c r="F294" s="129"/>
    </row>
    <row r="295" spans="2:6" s="7" customFormat="1" ht="13.5">
      <c r="B295" s="30"/>
      <c r="C295" s="30"/>
      <c r="D295" s="31"/>
      <c r="E295" s="35"/>
      <c r="F295" s="129"/>
    </row>
    <row r="296" spans="2:6" s="7" customFormat="1" ht="13.5">
      <c r="B296" s="30"/>
      <c r="C296" s="30"/>
      <c r="D296" s="31"/>
      <c r="E296" s="35"/>
      <c r="F296" s="129"/>
    </row>
    <row r="297" spans="2:6" s="7" customFormat="1" ht="13.5">
      <c r="B297" s="30"/>
      <c r="C297" s="30"/>
      <c r="D297" s="31"/>
      <c r="E297" s="35"/>
      <c r="F297" s="129"/>
    </row>
    <row r="298" spans="2:6" s="7" customFormat="1" ht="13.5">
      <c r="B298" s="30"/>
      <c r="C298" s="30"/>
      <c r="D298" s="31"/>
      <c r="E298" s="35"/>
      <c r="F298" s="129"/>
    </row>
    <row r="299" spans="2:6" s="7" customFormat="1" ht="13.5">
      <c r="B299" s="30"/>
      <c r="C299" s="30"/>
      <c r="D299" s="31"/>
      <c r="E299" s="35"/>
      <c r="F299" s="129"/>
    </row>
    <row r="300" spans="2:6" s="7" customFormat="1" ht="13.5">
      <c r="B300" s="30"/>
      <c r="C300" s="30"/>
      <c r="D300" s="31"/>
      <c r="E300" s="35"/>
      <c r="F300" s="129"/>
    </row>
    <row r="301" spans="2:6" s="7" customFormat="1" ht="13.5">
      <c r="B301" s="30"/>
      <c r="C301" s="30"/>
      <c r="D301" s="31"/>
      <c r="E301" s="35"/>
      <c r="F301" s="129"/>
    </row>
    <row r="302" spans="2:6" s="7" customFormat="1" ht="13.5">
      <c r="B302" s="30"/>
      <c r="C302" s="30"/>
      <c r="D302" s="31"/>
      <c r="E302" s="35"/>
      <c r="F302" s="129"/>
    </row>
    <row r="303" spans="2:6" s="7" customFormat="1" ht="13.5">
      <c r="B303" s="30"/>
      <c r="C303" s="30"/>
      <c r="D303" s="31"/>
      <c r="E303" s="35"/>
      <c r="F303" s="129"/>
    </row>
    <row r="304" spans="2:6" s="7" customFormat="1" ht="13.5">
      <c r="B304" s="30"/>
      <c r="C304" s="30"/>
      <c r="D304" s="31"/>
      <c r="E304" s="35"/>
      <c r="F304" s="129"/>
    </row>
    <row r="305" spans="2:6" s="7" customFormat="1" ht="13.5">
      <c r="B305" s="30"/>
      <c r="C305" s="30"/>
      <c r="D305" s="31"/>
      <c r="E305" s="35"/>
      <c r="F305" s="129"/>
    </row>
    <row r="306" spans="2:6" s="7" customFormat="1" ht="13.5">
      <c r="B306" s="30"/>
      <c r="C306" s="30"/>
      <c r="D306" s="31"/>
      <c r="E306" s="35"/>
      <c r="F306" s="129"/>
    </row>
    <row r="307" spans="2:6" s="7" customFormat="1" ht="13.5">
      <c r="B307" s="30"/>
      <c r="C307" s="30"/>
      <c r="D307" s="31"/>
      <c r="E307" s="35"/>
      <c r="F307" s="129"/>
    </row>
    <row r="308" spans="2:6" s="7" customFormat="1" ht="13.5">
      <c r="B308" s="30"/>
      <c r="C308" s="30"/>
      <c r="D308" s="31"/>
      <c r="E308" s="35"/>
      <c r="F308" s="129"/>
    </row>
    <row r="309" spans="2:6" s="7" customFormat="1" ht="13.5">
      <c r="B309" s="30"/>
      <c r="C309" s="30"/>
      <c r="D309" s="31"/>
      <c r="E309" s="35"/>
      <c r="F309" s="129"/>
    </row>
    <row r="310" spans="2:6" s="7" customFormat="1" ht="13.5">
      <c r="B310" s="30"/>
      <c r="C310" s="30"/>
      <c r="D310" s="31"/>
      <c r="E310" s="35"/>
      <c r="F310" s="129"/>
    </row>
    <row r="311" spans="2:6" s="7" customFormat="1" ht="13.5">
      <c r="B311" s="30"/>
      <c r="C311" s="30"/>
      <c r="D311" s="31"/>
      <c r="E311" s="35"/>
      <c r="F311" s="129"/>
    </row>
    <row r="312" spans="2:6" s="7" customFormat="1" ht="13.5">
      <c r="B312" s="30"/>
      <c r="C312" s="30"/>
      <c r="D312" s="31"/>
      <c r="E312" s="35"/>
      <c r="F312" s="129"/>
    </row>
    <row r="313" spans="2:6" s="7" customFormat="1" ht="13.5">
      <c r="B313" s="30"/>
      <c r="C313" s="30"/>
      <c r="D313" s="31"/>
      <c r="E313" s="35"/>
      <c r="F313" s="129"/>
    </row>
    <row r="314" spans="2:6" s="7" customFormat="1" ht="13.5">
      <c r="B314" s="30"/>
      <c r="C314" s="30"/>
      <c r="D314" s="31"/>
      <c r="E314" s="35"/>
      <c r="F314" s="129"/>
    </row>
    <row r="315" spans="2:6" s="7" customFormat="1" ht="13.5">
      <c r="B315" s="30"/>
      <c r="C315" s="30"/>
      <c r="D315" s="31"/>
      <c r="E315" s="35"/>
      <c r="F315" s="129"/>
    </row>
    <row r="316" spans="2:6" s="7" customFormat="1" ht="13.5">
      <c r="B316" s="30"/>
      <c r="C316" s="30"/>
      <c r="D316" s="31"/>
      <c r="E316" s="35"/>
      <c r="F316" s="129"/>
    </row>
    <row r="317" spans="2:6" s="7" customFormat="1" ht="13.5">
      <c r="B317" s="30"/>
      <c r="C317" s="30"/>
      <c r="D317" s="31"/>
      <c r="E317" s="35"/>
      <c r="F317" s="129"/>
    </row>
    <row r="318" spans="2:6" s="7" customFormat="1" ht="13.5">
      <c r="B318" s="30"/>
      <c r="C318" s="30"/>
      <c r="D318" s="31"/>
      <c r="E318" s="35"/>
      <c r="F318" s="129"/>
    </row>
    <row r="319" spans="2:6" s="7" customFormat="1" ht="13.5">
      <c r="B319" s="30"/>
      <c r="C319" s="30"/>
      <c r="D319" s="31"/>
      <c r="E319" s="35"/>
      <c r="F319" s="129"/>
    </row>
    <row r="320" spans="2:6" s="7" customFormat="1" ht="13.5">
      <c r="B320" s="30"/>
      <c r="C320" s="30"/>
      <c r="D320" s="31"/>
      <c r="E320" s="35"/>
      <c r="F320" s="129"/>
    </row>
    <row r="321" spans="2:6" s="7" customFormat="1" ht="13.5">
      <c r="B321" s="30"/>
      <c r="C321" s="30"/>
      <c r="D321" s="31"/>
      <c r="E321" s="35"/>
      <c r="F321" s="129"/>
    </row>
    <row r="322" spans="2:6" s="7" customFormat="1" ht="13.5">
      <c r="B322" s="30"/>
      <c r="C322" s="30"/>
      <c r="D322" s="31"/>
      <c r="E322" s="35"/>
      <c r="F322" s="129"/>
    </row>
    <row r="323" spans="2:6" s="7" customFormat="1" ht="13.5">
      <c r="B323" s="30"/>
      <c r="C323" s="30"/>
      <c r="D323" s="31"/>
      <c r="E323" s="35"/>
      <c r="F323" s="129"/>
    </row>
    <row r="324" spans="2:6" s="7" customFormat="1" ht="13.5">
      <c r="B324" s="30"/>
      <c r="C324" s="30"/>
      <c r="D324" s="31"/>
      <c r="E324" s="35"/>
      <c r="F324" s="129"/>
    </row>
    <row r="325" spans="2:6" s="7" customFormat="1" ht="13.5">
      <c r="B325" s="30"/>
      <c r="C325" s="30"/>
      <c r="D325" s="31"/>
      <c r="E325" s="35"/>
      <c r="F325" s="129"/>
    </row>
    <row r="326" spans="2:6" s="7" customFormat="1" ht="13.5">
      <c r="B326" s="30"/>
      <c r="C326" s="30"/>
      <c r="D326" s="31"/>
      <c r="E326" s="35"/>
      <c r="F326" s="129"/>
    </row>
    <row r="327" spans="2:6" s="7" customFormat="1" ht="13.5">
      <c r="B327" s="30"/>
      <c r="C327" s="30"/>
      <c r="D327" s="31"/>
      <c r="E327" s="35"/>
      <c r="F327" s="129"/>
    </row>
    <row r="328" spans="2:6" s="7" customFormat="1" ht="13.5">
      <c r="B328" s="30"/>
      <c r="C328" s="30"/>
      <c r="D328" s="31"/>
      <c r="E328" s="35"/>
      <c r="F328" s="129"/>
    </row>
    <row r="329" spans="2:6" s="7" customFormat="1" ht="13.5">
      <c r="B329" s="30"/>
      <c r="C329" s="30"/>
      <c r="D329" s="31"/>
      <c r="E329" s="35"/>
      <c r="F329" s="129"/>
    </row>
    <row r="330" spans="2:6" s="7" customFormat="1" ht="13.5">
      <c r="B330" s="30"/>
      <c r="C330" s="30"/>
      <c r="D330" s="31"/>
      <c r="E330" s="35"/>
      <c r="F330" s="129"/>
    </row>
    <row r="331" spans="2:6" s="7" customFormat="1" ht="13.5">
      <c r="B331" s="30"/>
      <c r="C331" s="30"/>
      <c r="D331" s="31"/>
      <c r="E331" s="35"/>
      <c r="F331" s="129"/>
    </row>
    <row r="332" spans="2:6" s="7" customFormat="1" ht="13.5">
      <c r="B332" s="30"/>
      <c r="C332" s="30"/>
      <c r="D332" s="31"/>
      <c r="E332" s="35"/>
      <c r="F332" s="129"/>
    </row>
    <row r="333" spans="2:6" s="7" customFormat="1" ht="13.5">
      <c r="B333" s="30"/>
      <c r="C333" s="30"/>
      <c r="D333" s="31"/>
      <c r="E333" s="35"/>
      <c r="F333" s="129"/>
    </row>
    <row r="334" spans="2:6" s="7" customFormat="1" ht="13.5">
      <c r="B334" s="30"/>
      <c r="C334" s="30"/>
      <c r="D334" s="31"/>
      <c r="E334" s="35"/>
      <c r="F334" s="129"/>
    </row>
    <row r="335" spans="2:6" s="7" customFormat="1" ht="13.5">
      <c r="B335" s="30"/>
      <c r="C335" s="30"/>
      <c r="D335" s="31"/>
      <c r="E335" s="35"/>
      <c r="F335" s="129"/>
    </row>
    <row r="336" spans="2:6" s="7" customFormat="1" ht="13.5">
      <c r="B336" s="30"/>
      <c r="C336" s="30"/>
      <c r="D336" s="31"/>
      <c r="E336" s="35"/>
      <c r="F336" s="129"/>
    </row>
    <row r="337" spans="2:6" s="7" customFormat="1" ht="13.5">
      <c r="B337" s="30"/>
      <c r="C337" s="30"/>
      <c r="D337" s="31"/>
      <c r="E337" s="35"/>
      <c r="F337" s="129"/>
    </row>
    <row r="338" spans="2:6" s="7" customFormat="1" ht="13.5">
      <c r="B338" s="30"/>
      <c r="C338" s="30"/>
      <c r="D338" s="31"/>
      <c r="E338" s="35"/>
      <c r="F338" s="129"/>
    </row>
    <row r="339" spans="2:6" s="7" customFormat="1" ht="13.5">
      <c r="B339" s="30"/>
      <c r="C339" s="30"/>
      <c r="D339" s="31"/>
      <c r="E339" s="35"/>
      <c r="F339" s="129"/>
    </row>
    <row r="340" spans="2:6" s="7" customFormat="1" ht="13.5">
      <c r="B340" s="30"/>
      <c r="C340" s="30"/>
      <c r="D340" s="31"/>
      <c r="E340" s="35"/>
      <c r="F340" s="129"/>
    </row>
    <row r="341" spans="2:6" s="7" customFormat="1" ht="13.5">
      <c r="B341" s="30"/>
      <c r="C341" s="30"/>
      <c r="D341" s="31"/>
      <c r="E341" s="35"/>
      <c r="F341" s="129"/>
    </row>
    <row r="342" spans="2:6" s="7" customFormat="1" ht="13.5">
      <c r="B342" s="30"/>
      <c r="C342" s="30"/>
      <c r="D342" s="31"/>
      <c r="E342" s="35"/>
      <c r="F342" s="129"/>
    </row>
    <row r="343" spans="2:6" s="7" customFormat="1" ht="13.5">
      <c r="B343" s="30"/>
      <c r="C343" s="30"/>
      <c r="D343" s="31"/>
      <c r="E343" s="35"/>
      <c r="F343" s="129"/>
    </row>
    <row r="344" spans="2:6" s="7" customFormat="1" ht="13.5">
      <c r="B344" s="30"/>
      <c r="C344" s="30"/>
      <c r="D344" s="31"/>
      <c r="E344" s="35"/>
      <c r="F344" s="129"/>
    </row>
    <row r="345" spans="2:6" s="7" customFormat="1" ht="13.5">
      <c r="B345" s="30"/>
      <c r="C345" s="30"/>
      <c r="D345" s="31"/>
      <c r="E345" s="35"/>
      <c r="F345" s="129"/>
    </row>
    <row r="346" spans="2:6" s="7" customFormat="1" ht="13.5">
      <c r="B346" s="30"/>
      <c r="C346" s="30"/>
      <c r="D346" s="31"/>
      <c r="E346" s="35"/>
      <c r="F346" s="129"/>
    </row>
    <row r="347" spans="2:6" s="7" customFormat="1" ht="13.5">
      <c r="B347" s="30"/>
      <c r="C347" s="30"/>
      <c r="D347" s="31"/>
      <c r="E347" s="35"/>
      <c r="F347" s="129"/>
    </row>
    <row r="348" spans="2:6" s="7" customFormat="1" ht="13.5">
      <c r="B348" s="30"/>
      <c r="C348" s="30"/>
      <c r="D348" s="31"/>
      <c r="E348" s="35"/>
      <c r="F348" s="129"/>
    </row>
    <row r="349" spans="2:6" s="7" customFormat="1" ht="13.5">
      <c r="B349" s="30"/>
      <c r="C349" s="30"/>
      <c r="D349" s="31"/>
      <c r="E349" s="35"/>
      <c r="F349" s="129"/>
    </row>
    <row r="350" spans="2:6" s="7" customFormat="1" ht="13.5">
      <c r="B350" s="30"/>
      <c r="C350" s="30"/>
      <c r="D350" s="31"/>
      <c r="E350" s="35"/>
      <c r="F350" s="129"/>
    </row>
    <row r="351" spans="2:6" s="7" customFormat="1" ht="13.5">
      <c r="B351" s="30"/>
      <c r="C351" s="30"/>
      <c r="D351" s="31"/>
      <c r="E351" s="35"/>
      <c r="F351" s="129"/>
    </row>
    <row r="352" spans="2:6" s="7" customFormat="1" ht="13.5">
      <c r="B352" s="30"/>
      <c r="C352" s="30"/>
      <c r="D352" s="31"/>
      <c r="E352" s="35"/>
      <c r="F352" s="129"/>
    </row>
    <row r="353" spans="2:6" s="7" customFormat="1" ht="13.5">
      <c r="B353" s="30"/>
      <c r="C353" s="30"/>
      <c r="D353" s="31"/>
      <c r="E353" s="35"/>
      <c r="F353" s="129"/>
    </row>
    <row r="354" spans="2:6" s="7" customFormat="1" ht="13.5">
      <c r="B354" s="30"/>
      <c r="C354" s="30"/>
      <c r="D354" s="31"/>
      <c r="E354" s="35"/>
      <c r="F354" s="129"/>
    </row>
    <row r="355" spans="2:6" s="7" customFormat="1" ht="13.5">
      <c r="B355" s="30"/>
      <c r="C355" s="30"/>
      <c r="D355" s="31"/>
      <c r="E355" s="35"/>
      <c r="F355" s="129"/>
    </row>
    <row r="356" spans="2:6" s="7" customFormat="1" ht="13.5">
      <c r="B356" s="30"/>
      <c r="C356" s="30"/>
      <c r="D356" s="31"/>
      <c r="E356" s="35"/>
      <c r="F356" s="129"/>
    </row>
    <row r="357" spans="2:6" s="7" customFormat="1" ht="13.5">
      <c r="B357" s="30"/>
      <c r="C357" s="30"/>
      <c r="D357" s="31"/>
      <c r="E357" s="35"/>
      <c r="F357" s="129"/>
    </row>
    <row r="358" spans="2:6" s="7" customFormat="1" ht="13.5">
      <c r="B358" s="30"/>
      <c r="C358" s="30"/>
      <c r="D358" s="31"/>
      <c r="E358" s="35"/>
      <c r="F358" s="129"/>
    </row>
    <row r="359" spans="2:6" s="7" customFormat="1" ht="13.5">
      <c r="B359" s="30"/>
      <c r="C359" s="30"/>
      <c r="D359" s="31"/>
      <c r="E359" s="35"/>
      <c r="F359" s="129"/>
    </row>
    <row r="360" spans="2:6" s="7" customFormat="1" ht="13.5">
      <c r="B360" s="30"/>
      <c r="C360" s="30"/>
      <c r="D360" s="31"/>
      <c r="E360" s="35"/>
      <c r="F360" s="129"/>
    </row>
    <row r="361" spans="2:6" s="7" customFormat="1" ht="13.5">
      <c r="B361" s="30"/>
      <c r="C361" s="30"/>
      <c r="D361" s="31"/>
      <c r="E361" s="35"/>
      <c r="F361" s="129"/>
    </row>
    <row r="362" spans="2:6" s="7" customFormat="1" ht="13.5">
      <c r="B362" s="30"/>
      <c r="C362" s="30"/>
      <c r="D362" s="31"/>
      <c r="E362" s="35"/>
      <c r="F362" s="129"/>
    </row>
    <row r="363" spans="2:6" s="7" customFormat="1" ht="13.5">
      <c r="B363" s="30"/>
      <c r="C363" s="30"/>
      <c r="D363" s="31"/>
      <c r="E363" s="35"/>
      <c r="F363" s="129"/>
    </row>
    <row r="364" spans="2:6" s="7" customFormat="1" ht="13.5">
      <c r="B364" s="30"/>
      <c r="C364" s="30"/>
      <c r="D364" s="31"/>
      <c r="E364" s="35"/>
      <c r="F364" s="129"/>
    </row>
    <row r="365" spans="2:6" s="7" customFormat="1" ht="13.5">
      <c r="B365" s="30"/>
      <c r="C365" s="30"/>
      <c r="D365" s="31"/>
      <c r="E365" s="35"/>
      <c r="F365" s="129"/>
    </row>
    <row r="366" spans="2:6" s="7" customFormat="1" ht="13.5">
      <c r="B366" s="30"/>
      <c r="C366" s="30"/>
      <c r="D366" s="31"/>
      <c r="E366" s="35"/>
      <c r="F366" s="129"/>
    </row>
    <row r="367" spans="2:6" s="7" customFormat="1" ht="13.5">
      <c r="B367" s="30"/>
      <c r="C367" s="30"/>
      <c r="D367" s="31"/>
      <c r="E367" s="35"/>
      <c r="F367" s="129"/>
    </row>
    <row r="368" spans="2:6" s="7" customFormat="1" ht="13.5">
      <c r="B368" s="30"/>
      <c r="C368" s="30"/>
      <c r="D368" s="31"/>
      <c r="E368" s="35"/>
      <c r="F368" s="129"/>
    </row>
    <row r="369" spans="2:6" s="7" customFormat="1" ht="13.5">
      <c r="B369" s="30"/>
      <c r="C369" s="30"/>
      <c r="D369" s="31"/>
      <c r="E369" s="35"/>
      <c r="F369" s="129"/>
    </row>
    <row r="370" spans="2:6" s="7" customFormat="1" ht="13.5">
      <c r="B370" s="30"/>
      <c r="C370" s="30"/>
      <c r="D370" s="31"/>
      <c r="E370" s="35"/>
      <c r="F370" s="129"/>
    </row>
    <row r="371" spans="2:6" s="7" customFormat="1" ht="13.5">
      <c r="B371" s="30"/>
      <c r="C371" s="30"/>
      <c r="D371" s="31"/>
      <c r="E371" s="35"/>
      <c r="F371" s="129"/>
    </row>
    <row r="372" spans="2:6" s="7" customFormat="1" ht="13.5">
      <c r="B372" s="30"/>
      <c r="C372" s="30"/>
      <c r="D372" s="31"/>
      <c r="E372" s="35"/>
      <c r="F372" s="129"/>
    </row>
    <row r="373" spans="2:6" s="7" customFormat="1" ht="13.5">
      <c r="B373" s="30"/>
      <c r="C373" s="30"/>
      <c r="D373" s="31"/>
      <c r="E373" s="35"/>
      <c r="F373" s="129"/>
    </row>
    <row r="374" spans="2:6" s="7" customFormat="1" ht="13.5">
      <c r="B374" s="30"/>
      <c r="C374" s="30"/>
      <c r="D374" s="31"/>
      <c r="E374" s="35"/>
      <c r="F374" s="129"/>
    </row>
    <row r="375" spans="2:6" s="7" customFormat="1" ht="13.5">
      <c r="B375" s="30"/>
      <c r="C375" s="30"/>
      <c r="D375" s="31"/>
      <c r="E375" s="35"/>
      <c r="F375" s="129"/>
    </row>
    <row r="376" spans="2:6" s="7" customFormat="1" ht="13.5">
      <c r="B376" s="30"/>
      <c r="C376" s="30"/>
      <c r="D376" s="31"/>
      <c r="E376" s="35"/>
      <c r="F376" s="129"/>
    </row>
    <row r="377" spans="2:6" s="7" customFormat="1" ht="13.5">
      <c r="B377" s="30"/>
      <c r="C377" s="30"/>
      <c r="D377" s="31"/>
      <c r="E377" s="35"/>
      <c r="F377" s="129"/>
    </row>
    <row r="378" spans="2:6" s="7" customFormat="1" ht="13.5">
      <c r="B378" s="30"/>
      <c r="C378" s="30"/>
      <c r="D378" s="31"/>
      <c r="E378" s="35"/>
      <c r="F378" s="129"/>
    </row>
    <row r="379" spans="2:6" s="7" customFormat="1" ht="13.5">
      <c r="B379" s="30"/>
      <c r="C379" s="30"/>
      <c r="D379" s="31"/>
      <c r="E379" s="35"/>
      <c r="F379" s="129"/>
    </row>
    <row r="380" spans="2:6" s="7" customFormat="1" ht="13.5">
      <c r="B380" s="30"/>
      <c r="C380" s="30"/>
      <c r="D380" s="31"/>
      <c r="E380" s="35"/>
      <c r="F380" s="129"/>
    </row>
    <row r="381" spans="2:6" s="7" customFormat="1" ht="13.5">
      <c r="B381" s="30"/>
      <c r="C381" s="30"/>
      <c r="D381" s="31"/>
      <c r="E381" s="35"/>
      <c r="F381" s="129"/>
    </row>
    <row r="382" spans="2:6" s="7" customFormat="1" ht="13.5">
      <c r="B382" s="30"/>
      <c r="C382" s="30"/>
      <c r="D382" s="31"/>
      <c r="E382" s="35"/>
      <c r="F382" s="129"/>
    </row>
    <row r="383" spans="2:6" s="7" customFormat="1" ht="13.5">
      <c r="B383" s="30"/>
      <c r="C383" s="30"/>
      <c r="D383" s="31"/>
      <c r="E383" s="35"/>
      <c r="F383" s="129"/>
    </row>
    <row r="384" spans="2:6" s="7" customFormat="1" ht="13.5">
      <c r="B384" s="30"/>
      <c r="C384" s="30"/>
      <c r="D384" s="31"/>
      <c r="E384" s="35"/>
      <c r="F384" s="129"/>
    </row>
    <row r="385" spans="2:6" s="7" customFormat="1" ht="13.5">
      <c r="B385" s="30"/>
      <c r="C385" s="30"/>
      <c r="D385" s="31"/>
      <c r="E385" s="35"/>
      <c r="F385" s="129"/>
    </row>
    <row r="386" spans="2:6" s="7" customFormat="1" ht="13.5">
      <c r="B386" s="30"/>
      <c r="C386" s="30"/>
      <c r="D386" s="31"/>
      <c r="E386" s="35"/>
      <c r="F386" s="129"/>
    </row>
    <row r="387" spans="2:6" s="7" customFormat="1" ht="13.5">
      <c r="B387" s="30"/>
      <c r="C387" s="30"/>
      <c r="D387" s="31"/>
      <c r="E387" s="35"/>
      <c r="F387" s="129"/>
    </row>
    <row r="388" spans="2:6" s="7" customFormat="1" ht="13.5">
      <c r="B388" s="30"/>
      <c r="C388" s="30"/>
      <c r="D388" s="31"/>
      <c r="E388" s="35"/>
      <c r="F388" s="129"/>
    </row>
    <row r="389" spans="2:6" s="7" customFormat="1" ht="13.5">
      <c r="B389" s="30"/>
      <c r="C389" s="30"/>
      <c r="D389" s="31"/>
      <c r="E389" s="35"/>
      <c r="F389" s="129"/>
    </row>
    <row r="390" spans="2:6" s="7" customFormat="1" ht="13.5">
      <c r="B390" s="30"/>
      <c r="C390" s="30"/>
      <c r="D390" s="31"/>
      <c r="E390" s="35"/>
      <c r="F390" s="129"/>
    </row>
    <row r="391" spans="2:6" s="7" customFormat="1" ht="13.5">
      <c r="B391" s="30"/>
      <c r="C391" s="30"/>
      <c r="D391" s="31"/>
      <c r="E391" s="35"/>
      <c r="F391" s="129"/>
    </row>
    <row r="392" spans="2:6" s="7" customFormat="1" ht="13.5">
      <c r="B392" s="30"/>
      <c r="C392" s="30"/>
      <c r="D392" s="31"/>
      <c r="E392" s="35"/>
      <c r="F392" s="129"/>
    </row>
    <row r="393" spans="2:6" s="7" customFormat="1" ht="13.5">
      <c r="B393" s="30"/>
      <c r="C393" s="30"/>
      <c r="D393" s="31"/>
      <c r="E393" s="35"/>
      <c r="F393" s="129"/>
    </row>
    <row r="394" spans="2:6" s="7" customFormat="1" ht="13.5">
      <c r="B394" s="30"/>
      <c r="C394" s="30"/>
      <c r="D394" s="31"/>
      <c r="E394" s="35"/>
      <c r="F394" s="129"/>
    </row>
    <row r="395" spans="2:6" s="7" customFormat="1" ht="13.5">
      <c r="B395" s="30"/>
      <c r="C395" s="30"/>
      <c r="D395" s="31"/>
      <c r="E395" s="35"/>
      <c r="F395" s="129"/>
    </row>
    <row r="396" spans="2:6" s="7" customFormat="1" ht="13.5">
      <c r="B396" s="30"/>
      <c r="C396" s="30"/>
      <c r="D396" s="31"/>
      <c r="E396" s="35"/>
      <c r="F396" s="129"/>
    </row>
    <row r="397" spans="2:6" s="7" customFormat="1" ht="13.5">
      <c r="B397" s="30"/>
      <c r="C397" s="30"/>
      <c r="D397" s="31"/>
      <c r="E397" s="35"/>
      <c r="F397" s="129"/>
    </row>
    <row r="398" spans="2:6" s="7" customFormat="1" ht="13.5">
      <c r="B398" s="30"/>
      <c r="C398" s="30"/>
      <c r="D398" s="31"/>
      <c r="E398" s="35"/>
      <c r="F398" s="129"/>
    </row>
    <row r="399" spans="2:6" s="7" customFormat="1" ht="13.5">
      <c r="B399" s="30"/>
      <c r="C399" s="30"/>
      <c r="D399" s="31"/>
      <c r="E399" s="35"/>
      <c r="F399" s="129"/>
    </row>
    <row r="400" spans="2:6" s="7" customFormat="1" ht="13.5">
      <c r="B400" s="30"/>
      <c r="C400" s="30"/>
      <c r="D400" s="31"/>
      <c r="E400" s="35"/>
      <c r="F400" s="129"/>
    </row>
    <row r="401" spans="2:6" s="7" customFormat="1" ht="13.5">
      <c r="B401" s="30"/>
      <c r="C401" s="30"/>
      <c r="D401" s="31"/>
      <c r="E401" s="35"/>
      <c r="F401" s="129"/>
    </row>
    <row r="402" spans="2:6" s="7" customFormat="1" ht="13.5">
      <c r="B402" s="30"/>
      <c r="C402" s="30"/>
      <c r="D402" s="31"/>
      <c r="E402" s="35"/>
      <c r="F402" s="129"/>
    </row>
    <row r="403" spans="2:6" s="7" customFormat="1" ht="13.5">
      <c r="B403" s="30"/>
      <c r="C403" s="30"/>
      <c r="D403" s="31"/>
      <c r="E403" s="35"/>
      <c r="F403" s="129"/>
    </row>
    <row r="404" spans="2:6" s="7" customFormat="1" ht="13.5">
      <c r="B404" s="30"/>
      <c r="C404" s="30"/>
      <c r="D404" s="31"/>
      <c r="E404" s="35"/>
      <c r="F404" s="129"/>
    </row>
    <row r="405" spans="2:6" s="7" customFormat="1" ht="13.5">
      <c r="B405" s="30"/>
      <c r="C405" s="30"/>
      <c r="D405" s="31"/>
      <c r="E405" s="35"/>
      <c r="F405" s="129"/>
    </row>
    <row r="406" spans="2:6" s="7" customFormat="1" ht="13.5">
      <c r="B406" s="30"/>
      <c r="C406" s="30"/>
      <c r="D406" s="31"/>
      <c r="E406" s="35"/>
      <c r="F406" s="129"/>
    </row>
    <row r="407" spans="2:6" s="7" customFormat="1" ht="13.5">
      <c r="B407" s="30"/>
      <c r="C407" s="30"/>
      <c r="D407" s="31"/>
      <c r="E407" s="35"/>
      <c r="F407" s="129"/>
    </row>
    <row r="408" spans="2:6" s="7" customFormat="1" ht="13.5">
      <c r="B408" s="30"/>
      <c r="C408" s="30"/>
      <c r="D408" s="31"/>
      <c r="E408" s="35"/>
      <c r="F408" s="129"/>
    </row>
    <row r="409" spans="2:6" s="7" customFormat="1" ht="13.5">
      <c r="B409" s="30"/>
      <c r="C409" s="30"/>
      <c r="D409" s="31"/>
      <c r="E409" s="35"/>
      <c r="F409" s="129"/>
    </row>
    <row r="410" spans="2:6" s="7" customFormat="1" ht="13.5">
      <c r="B410" s="30"/>
      <c r="C410" s="30"/>
      <c r="D410" s="31"/>
      <c r="E410" s="35"/>
      <c r="F410" s="129"/>
    </row>
    <row r="411" spans="2:6" s="7" customFormat="1" ht="13.5">
      <c r="B411" s="30"/>
      <c r="C411" s="30"/>
      <c r="D411" s="31"/>
      <c r="E411" s="35"/>
      <c r="F411" s="129"/>
    </row>
    <row r="412" spans="2:6" s="7" customFormat="1" ht="13.5">
      <c r="B412" s="30"/>
      <c r="C412" s="30"/>
      <c r="D412" s="31"/>
      <c r="E412" s="35"/>
      <c r="F412" s="129"/>
    </row>
    <row r="413" spans="2:6" s="7" customFormat="1" ht="13.5">
      <c r="B413" s="30"/>
      <c r="C413" s="30"/>
      <c r="D413" s="31"/>
      <c r="E413" s="35"/>
      <c r="F413" s="129"/>
    </row>
    <row r="414" spans="2:6" s="7" customFormat="1" ht="13.5">
      <c r="B414" s="30"/>
      <c r="C414" s="30"/>
      <c r="D414" s="31"/>
      <c r="E414" s="35"/>
      <c r="F414" s="129"/>
    </row>
    <row r="415" spans="2:6" s="7" customFormat="1" ht="13.5">
      <c r="B415" s="30"/>
      <c r="C415" s="30"/>
      <c r="D415" s="31"/>
      <c r="E415" s="35"/>
      <c r="F415" s="129"/>
    </row>
    <row r="416" spans="2:6" s="7" customFormat="1" ht="13.5">
      <c r="B416" s="30"/>
      <c r="C416" s="30"/>
      <c r="D416" s="31"/>
      <c r="E416" s="35"/>
      <c r="F416" s="129"/>
    </row>
    <row r="417" spans="2:6" s="7" customFormat="1" ht="13.5">
      <c r="B417" s="30"/>
      <c r="C417" s="30"/>
      <c r="D417" s="31"/>
      <c r="E417" s="35"/>
      <c r="F417" s="129"/>
    </row>
    <row r="418" spans="2:6" s="7" customFormat="1" ht="13.5">
      <c r="B418" s="30"/>
      <c r="C418" s="30"/>
      <c r="D418" s="31"/>
      <c r="E418" s="35"/>
      <c r="F418" s="129"/>
    </row>
    <row r="419" spans="2:6" s="7" customFormat="1" ht="13.5">
      <c r="B419" s="30"/>
      <c r="C419" s="30"/>
      <c r="D419" s="31"/>
      <c r="E419" s="35"/>
      <c r="F419" s="129"/>
    </row>
    <row r="420" spans="2:6" s="7" customFormat="1" ht="13.5">
      <c r="B420" s="30"/>
      <c r="C420" s="30"/>
      <c r="D420" s="31"/>
      <c r="E420" s="35"/>
      <c r="F420" s="129"/>
    </row>
    <row r="421" spans="2:6" s="7" customFormat="1" ht="13.5">
      <c r="B421" s="30"/>
      <c r="C421" s="30"/>
      <c r="D421" s="31"/>
      <c r="E421" s="35"/>
      <c r="F421" s="129"/>
    </row>
    <row r="422" spans="2:6" s="7" customFormat="1" ht="13.5">
      <c r="B422" s="30"/>
      <c r="C422" s="30"/>
      <c r="D422" s="31"/>
      <c r="E422" s="35"/>
      <c r="F422" s="129"/>
    </row>
    <row r="423" spans="2:6" s="7" customFormat="1" ht="13.5">
      <c r="B423" s="30"/>
      <c r="C423" s="30"/>
      <c r="D423" s="31"/>
      <c r="E423" s="35"/>
      <c r="F423" s="129"/>
    </row>
    <row r="424" spans="2:6" s="7" customFormat="1" ht="13.5">
      <c r="B424" s="30"/>
      <c r="C424" s="30"/>
      <c r="D424" s="31"/>
      <c r="E424" s="35"/>
      <c r="F424" s="129"/>
    </row>
    <row r="425" spans="2:6" s="7" customFormat="1" ht="13.5">
      <c r="B425" s="30"/>
      <c r="C425" s="30"/>
      <c r="D425" s="31"/>
      <c r="E425" s="35"/>
      <c r="F425" s="129"/>
    </row>
    <row r="426" spans="2:6" s="7" customFormat="1" ht="13.5">
      <c r="B426" s="30"/>
      <c r="C426" s="30"/>
      <c r="D426" s="31"/>
      <c r="E426" s="35"/>
      <c r="F426" s="129"/>
    </row>
    <row r="427" spans="2:6" s="7" customFormat="1" ht="13.5">
      <c r="B427" s="30"/>
      <c r="C427" s="30"/>
      <c r="D427" s="31"/>
      <c r="E427" s="35"/>
      <c r="F427" s="129"/>
    </row>
    <row r="428" spans="2:6" s="7" customFormat="1" ht="13.5">
      <c r="B428" s="30"/>
      <c r="C428" s="30"/>
      <c r="D428" s="31"/>
      <c r="E428" s="35"/>
      <c r="F428" s="129"/>
    </row>
    <row r="429" spans="2:6" s="7" customFormat="1" ht="13.5">
      <c r="B429" s="30"/>
      <c r="C429" s="30"/>
      <c r="D429" s="31"/>
      <c r="E429" s="35"/>
      <c r="F429" s="129"/>
    </row>
    <row r="430" spans="2:6" s="7" customFormat="1" ht="13.5">
      <c r="B430" s="30"/>
      <c r="C430" s="30"/>
      <c r="D430" s="31"/>
      <c r="E430" s="35"/>
      <c r="F430" s="129"/>
    </row>
    <row r="431" spans="2:6" s="7" customFormat="1" ht="13.5">
      <c r="B431" s="30"/>
      <c r="C431" s="30"/>
      <c r="D431" s="31"/>
      <c r="E431" s="35"/>
      <c r="F431" s="129"/>
    </row>
    <row r="432" spans="2:6" s="7" customFormat="1" ht="13.5">
      <c r="B432" s="30"/>
      <c r="C432" s="30"/>
      <c r="D432" s="31"/>
      <c r="E432" s="35"/>
      <c r="F432" s="129"/>
    </row>
    <row r="433" spans="2:6" s="7" customFormat="1" ht="13.5">
      <c r="B433" s="30"/>
      <c r="C433" s="30"/>
      <c r="D433" s="31"/>
      <c r="E433" s="35"/>
      <c r="F433" s="129"/>
    </row>
    <row r="434" spans="2:6" s="7" customFormat="1" ht="13.5">
      <c r="B434" s="30"/>
      <c r="C434" s="30"/>
      <c r="D434" s="31"/>
      <c r="E434" s="35"/>
      <c r="F434" s="129"/>
    </row>
    <row r="435" spans="2:6" s="7" customFormat="1" ht="13.5">
      <c r="B435" s="30"/>
      <c r="C435" s="30"/>
      <c r="D435" s="31"/>
      <c r="E435" s="35"/>
      <c r="F435" s="129"/>
    </row>
    <row r="436" spans="2:6" s="7" customFormat="1" ht="13.5">
      <c r="B436" s="30"/>
      <c r="C436" s="30"/>
      <c r="D436" s="31"/>
      <c r="E436" s="35"/>
      <c r="F436" s="129"/>
    </row>
    <row r="437" spans="2:6" s="7" customFormat="1" ht="13.5">
      <c r="B437" s="30"/>
      <c r="C437" s="30"/>
      <c r="D437" s="31"/>
      <c r="E437" s="35"/>
      <c r="F437" s="129"/>
    </row>
    <row r="438" spans="2:6" s="7" customFormat="1" ht="13.5">
      <c r="B438" s="30"/>
      <c r="C438" s="30"/>
      <c r="D438" s="31"/>
      <c r="E438" s="35"/>
      <c r="F438" s="129"/>
    </row>
    <row r="439" spans="2:6" s="7" customFormat="1" ht="13.5">
      <c r="B439" s="30"/>
      <c r="C439" s="30"/>
      <c r="D439" s="31"/>
      <c r="E439" s="35"/>
      <c r="F439" s="129"/>
    </row>
    <row r="440" spans="2:6" s="7" customFormat="1" ht="13.5">
      <c r="B440" s="30"/>
      <c r="C440" s="30"/>
      <c r="D440" s="31"/>
      <c r="E440" s="35"/>
      <c r="F440" s="129"/>
    </row>
    <row r="441" spans="2:6" s="7" customFormat="1" ht="13.5">
      <c r="B441" s="30"/>
      <c r="C441" s="30"/>
      <c r="D441" s="31"/>
      <c r="E441" s="35"/>
      <c r="F441" s="129"/>
    </row>
    <row r="442" spans="2:6" s="7" customFormat="1" ht="13.5">
      <c r="B442" s="30"/>
      <c r="C442" s="30"/>
      <c r="D442" s="31"/>
      <c r="E442" s="35"/>
      <c r="F442" s="129"/>
    </row>
    <row r="443" spans="2:6" s="7" customFormat="1" ht="13.5">
      <c r="B443" s="30"/>
      <c r="C443" s="30"/>
      <c r="D443" s="31"/>
      <c r="E443" s="35"/>
      <c r="F443" s="129"/>
    </row>
    <row r="444" spans="2:6" s="7" customFormat="1" ht="13.5">
      <c r="B444" s="30"/>
      <c r="C444" s="30"/>
      <c r="D444" s="31"/>
      <c r="E444" s="35"/>
      <c r="F444" s="129"/>
    </row>
    <row r="445" spans="2:6" s="7" customFormat="1" ht="13.5">
      <c r="B445" s="30"/>
      <c r="C445" s="30"/>
      <c r="D445" s="31"/>
      <c r="E445" s="35"/>
      <c r="F445" s="129"/>
    </row>
    <row r="446" spans="2:6" s="7" customFormat="1" ht="13.5">
      <c r="B446" s="30"/>
      <c r="C446" s="30"/>
      <c r="D446" s="31"/>
      <c r="E446" s="35"/>
      <c r="F446" s="129"/>
    </row>
    <row r="447" spans="2:6" s="7" customFormat="1" ht="13.5">
      <c r="B447" s="30"/>
      <c r="C447" s="30"/>
      <c r="D447" s="31"/>
      <c r="E447" s="35"/>
      <c r="F447" s="129"/>
    </row>
    <row r="448" spans="2:6" s="7" customFormat="1" ht="13.5">
      <c r="B448" s="30"/>
      <c r="C448" s="30"/>
      <c r="D448" s="31"/>
      <c r="E448" s="35"/>
      <c r="F448" s="129"/>
    </row>
    <row r="449" spans="2:6" s="7" customFormat="1" ht="13.5">
      <c r="B449" s="30"/>
      <c r="C449" s="30"/>
      <c r="D449" s="31"/>
      <c r="E449" s="35"/>
      <c r="F449" s="129"/>
    </row>
    <row r="450" spans="2:6" s="7" customFormat="1" ht="13.5">
      <c r="B450" s="30"/>
      <c r="C450" s="30"/>
      <c r="D450" s="31"/>
      <c r="E450" s="35"/>
      <c r="F450" s="129"/>
    </row>
    <row r="451" spans="2:6" s="7" customFormat="1" ht="13.5">
      <c r="B451" s="30"/>
      <c r="C451" s="30"/>
      <c r="D451" s="31"/>
      <c r="E451" s="35"/>
      <c r="F451" s="129"/>
    </row>
    <row r="452" spans="2:6" s="7" customFormat="1" ht="13.5">
      <c r="B452" s="30"/>
      <c r="C452" s="30"/>
      <c r="D452" s="31"/>
      <c r="E452" s="35"/>
      <c r="F452" s="129"/>
    </row>
    <row r="453" spans="2:6" s="7" customFormat="1" ht="13.5">
      <c r="B453" s="30"/>
      <c r="C453" s="30"/>
      <c r="D453" s="31"/>
      <c r="E453" s="35"/>
      <c r="F453" s="129"/>
    </row>
    <row r="454" spans="2:6" s="7" customFormat="1" ht="13.5">
      <c r="B454" s="30"/>
      <c r="C454" s="30"/>
      <c r="D454" s="31"/>
      <c r="E454" s="35"/>
      <c r="F454" s="129"/>
    </row>
    <row r="455" spans="2:6" s="7" customFormat="1" ht="13.5">
      <c r="B455" s="30"/>
      <c r="C455" s="30"/>
      <c r="D455" s="31"/>
      <c r="E455" s="35"/>
      <c r="F455" s="129"/>
    </row>
    <row r="456" spans="2:6" s="7" customFormat="1" ht="13.5">
      <c r="B456" s="30"/>
      <c r="C456" s="30"/>
      <c r="D456" s="31"/>
      <c r="E456" s="35"/>
      <c r="F456" s="129"/>
    </row>
    <row r="457" spans="2:6" s="7" customFormat="1" ht="13.5">
      <c r="B457" s="30"/>
      <c r="C457" s="30"/>
      <c r="D457" s="31"/>
      <c r="E457" s="35"/>
      <c r="F457" s="129"/>
    </row>
    <row r="458" spans="2:6" s="7" customFormat="1" ht="13.5">
      <c r="B458" s="30"/>
      <c r="C458" s="30"/>
      <c r="D458" s="31"/>
      <c r="E458" s="35"/>
      <c r="F458" s="129"/>
    </row>
    <row r="459" spans="2:6" s="7" customFormat="1" ht="13.5">
      <c r="B459" s="30"/>
      <c r="C459" s="30"/>
      <c r="D459" s="31"/>
      <c r="E459" s="35"/>
      <c r="F459" s="129"/>
    </row>
    <row r="460" spans="2:6" s="7" customFormat="1" ht="13.5">
      <c r="B460" s="30"/>
      <c r="C460" s="30"/>
      <c r="D460" s="31"/>
      <c r="E460" s="35"/>
      <c r="F460" s="129"/>
    </row>
    <row r="461" spans="2:6" s="7" customFormat="1" ht="13.5">
      <c r="B461" s="30"/>
      <c r="C461" s="30"/>
      <c r="D461" s="31"/>
      <c r="E461" s="35"/>
      <c r="F461" s="129"/>
    </row>
    <row r="462" spans="2:6" s="7" customFormat="1" ht="13.5">
      <c r="B462" s="30"/>
      <c r="C462" s="30"/>
      <c r="D462" s="31"/>
      <c r="E462" s="35"/>
      <c r="F462" s="129"/>
    </row>
    <row r="463" spans="2:6" s="7" customFormat="1" ht="13.5">
      <c r="B463" s="30"/>
      <c r="C463" s="30"/>
      <c r="D463" s="31"/>
      <c r="E463" s="35"/>
      <c r="F463" s="129"/>
    </row>
    <row r="464" spans="2:6" s="7" customFormat="1" ht="13.5">
      <c r="B464" s="30"/>
      <c r="C464" s="30"/>
      <c r="D464" s="31"/>
      <c r="E464" s="35"/>
      <c r="F464" s="129"/>
    </row>
    <row r="465" spans="2:6" s="7" customFormat="1" ht="13.5">
      <c r="B465" s="30"/>
      <c r="C465" s="30"/>
      <c r="D465" s="31"/>
      <c r="E465" s="35"/>
      <c r="F465" s="129"/>
    </row>
    <row r="466" spans="2:6" s="7" customFormat="1" ht="13.5">
      <c r="B466" s="30"/>
      <c r="C466" s="30"/>
      <c r="D466" s="31"/>
      <c r="E466" s="35"/>
      <c r="F466" s="129"/>
    </row>
    <row r="467" spans="2:6" s="7" customFormat="1" ht="13.5">
      <c r="B467" s="30"/>
      <c r="C467" s="30"/>
      <c r="D467" s="31"/>
      <c r="E467" s="35"/>
      <c r="F467" s="129"/>
    </row>
    <row r="468" spans="2:6" s="7" customFormat="1" ht="13.5">
      <c r="B468" s="30"/>
      <c r="C468" s="30"/>
      <c r="D468" s="31"/>
      <c r="E468" s="35"/>
      <c r="F468" s="129"/>
    </row>
    <row r="469" spans="2:6" s="7" customFormat="1" ht="13.5">
      <c r="B469" s="30"/>
      <c r="C469" s="30"/>
      <c r="D469" s="31"/>
      <c r="E469" s="35"/>
      <c r="F469" s="129"/>
    </row>
    <row r="470" spans="2:6" s="7" customFormat="1" ht="13.5">
      <c r="B470" s="30"/>
      <c r="C470" s="30"/>
      <c r="D470" s="31"/>
      <c r="E470" s="35"/>
      <c r="F470" s="129"/>
    </row>
    <row r="471" spans="2:6" s="7" customFormat="1" ht="13.5">
      <c r="B471" s="30"/>
      <c r="C471" s="30"/>
      <c r="D471" s="31"/>
      <c r="E471" s="35"/>
      <c r="F471" s="129"/>
    </row>
    <row r="472" spans="2:6" s="7" customFormat="1" ht="13.5">
      <c r="B472" s="30"/>
      <c r="C472" s="30"/>
      <c r="D472" s="31"/>
      <c r="E472" s="35"/>
      <c r="F472" s="129"/>
    </row>
    <row r="473" spans="2:6" s="7" customFormat="1" ht="13.5">
      <c r="B473" s="30"/>
      <c r="C473" s="30"/>
      <c r="D473" s="31"/>
      <c r="E473" s="35"/>
      <c r="F473" s="129"/>
    </row>
    <row r="474" spans="2:6" s="7" customFormat="1" ht="13.5">
      <c r="B474" s="30"/>
      <c r="C474" s="30"/>
      <c r="D474" s="31"/>
      <c r="E474" s="35"/>
      <c r="F474" s="129"/>
    </row>
    <row r="475" spans="2:6" s="7" customFormat="1" ht="13.5">
      <c r="B475" s="30"/>
      <c r="C475" s="30"/>
      <c r="D475" s="31"/>
      <c r="E475" s="35"/>
      <c r="F475" s="129"/>
    </row>
    <row r="476" spans="2:6" s="7" customFormat="1" ht="13.5">
      <c r="B476" s="30"/>
      <c r="C476" s="30"/>
      <c r="D476" s="31"/>
      <c r="E476" s="35"/>
      <c r="F476" s="129"/>
    </row>
    <row r="477" spans="2:6" s="7" customFormat="1" ht="13.5">
      <c r="B477" s="30"/>
      <c r="C477" s="30"/>
      <c r="D477" s="31"/>
      <c r="E477" s="35"/>
      <c r="F477" s="129"/>
    </row>
    <row r="478" spans="2:6" s="7" customFormat="1" ht="13.5">
      <c r="B478" s="30"/>
      <c r="C478" s="30"/>
      <c r="D478" s="31"/>
      <c r="E478" s="35"/>
      <c r="F478" s="129"/>
    </row>
    <row r="479" spans="2:6" s="7" customFormat="1" ht="13.5">
      <c r="B479" s="30"/>
      <c r="C479" s="30"/>
      <c r="D479" s="31"/>
      <c r="E479" s="35"/>
      <c r="F479" s="129"/>
    </row>
    <row r="480" spans="2:6" s="7" customFormat="1" ht="13.5">
      <c r="B480" s="30"/>
      <c r="C480" s="30"/>
      <c r="D480" s="31"/>
      <c r="E480" s="35"/>
      <c r="F480" s="129"/>
    </row>
    <row r="481" spans="2:6" s="7" customFormat="1" ht="13.5">
      <c r="B481" s="30"/>
      <c r="C481" s="30"/>
      <c r="D481" s="31"/>
      <c r="E481" s="35"/>
      <c r="F481" s="129"/>
    </row>
    <row r="482" spans="2:6" s="7" customFormat="1" ht="13.5">
      <c r="B482" s="30"/>
      <c r="C482" s="30"/>
      <c r="D482" s="31"/>
      <c r="E482" s="35"/>
      <c r="F482" s="129"/>
    </row>
    <row r="483" spans="2:6" s="7" customFormat="1" ht="13.5">
      <c r="B483" s="30"/>
      <c r="C483" s="30"/>
      <c r="D483" s="31"/>
      <c r="E483" s="35"/>
      <c r="F483" s="129"/>
    </row>
    <row r="484" spans="2:6" s="7" customFormat="1" ht="13.5">
      <c r="B484" s="30"/>
      <c r="C484" s="30"/>
      <c r="D484" s="31"/>
      <c r="E484" s="35"/>
      <c r="F484" s="129"/>
    </row>
    <row r="485" spans="2:6" s="7" customFormat="1" ht="13.5">
      <c r="B485" s="30"/>
      <c r="C485" s="30"/>
      <c r="D485" s="31"/>
      <c r="E485" s="35"/>
      <c r="F485" s="129"/>
    </row>
    <row r="486" spans="2:6" s="7" customFormat="1" ht="13.5">
      <c r="B486" s="30"/>
      <c r="C486" s="30"/>
      <c r="D486" s="31"/>
      <c r="E486" s="35"/>
      <c r="F486" s="129"/>
    </row>
    <row r="487" spans="2:6" s="7" customFormat="1" ht="13.5">
      <c r="B487" s="30"/>
      <c r="C487" s="30"/>
      <c r="D487" s="31"/>
      <c r="E487" s="35"/>
      <c r="F487" s="129"/>
    </row>
    <row r="488" spans="2:6" s="7" customFormat="1" ht="13.5">
      <c r="B488" s="30"/>
      <c r="C488" s="30"/>
      <c r="D488" s="31"/>
      <c r="E488" s="35"/>
      <c r="F488" s="129"/>
    </row>
    <row r="489" spans="2:6" s="7" customFormat="1" ht="13.5">
      <c r="B489" s="30"/>
      <c r="C489" s="30"/>
      <c r="D489" s="31"/>
      <c r="E489" s="35"/>
      <c r="F489" s="129"/>
    </row>
    <row r="490" spans="2:6" s="7" customFormat="1" ht="13.5">
      <c r="B490" s="30"/>
      <c r="C490" s="30"/>
      <c r="D490" s="31"/>
      <c r="E490" s="35"/>
      <c r="F490" s="129"/>
    </row>
    <row r="491" spans="2:6" s="7" customFormat="1" ht="13.5">
      <c r="B491" s="30"/>
      <c r="C491" s="30"/>
      <c r="D491" s="31"/>
      <c r="E491" s="35"/>
      <c r="F491" s="129"/>
    </row>
    <row r="492" spans="2:6" s="7" customFormat="1" ht="13.5">
      <c r="B492" s="30"/>
      <c r="C492" s="30"/>
      <c r="D492" s="31"/>
      <c r="E492" s="35"/>
      <c r="F492" s="129"/>
    </row>
    <row r="493" spans="2:6" s="7" customFormat="1" ht="13.5">
      <c r="B493" s="30"/>
      <c r="C493" s="30"/>
      <c r="D493" s="31"/>
      <c r="E493" s="35"/>
      <c r="F493" s="129"/>
    </row>
    <row r="494" spans="2:6" s="7" customFormat="1" ht="13.5">
      <c r="B494" s="30"/>
      <c r="C494" s="30"/>
      <c r="D494" s="31"/>
      <c r="E494" s="35"/>
      <c r="F494" s="129"/>
    </row>
    <row r="495" spans="2:6" s="7" customFormat="1" ht="13.5">
      <c r="B495" s="30"/>
      <c r="C495" s="30"/>
      <c r="D495" s="31"/>
      <c r="E495" s="35"/>
      <c r="F495" s="129"/>
    </row>
    <row r="496" spans="2:6" s="7" customFormat="1" ht="13.5">
      <c r="B496" s="30"/>
      <c r="C496" s="30"/>
      <c r="D496" s="31"/>
      <c r="E496" s="35"/>
      <c r="F496" s="129"/>
    </row>
    <row r="497" spans="2:6" s="7" customFormat="1" ht="13.5">
      <c r="B497" s="30"/>
      <c r="C497" s="30"/>
      <c r="D497" s="31"/>
      <c r="E497" s="35"/>
      <c r="F497" s="129"/>
    </row>
    <row r="498" spans="2:6" s="7" customFormat="1" ht="13.5">
      <c r="B498" s="30"/>
      <c r="C498" s="30"/>
      <c r="D498" s="31"/>
      <c r="E498" s="35"/>
      <c r="F498" s="129"/>
    </row>
    <row r="499" spans="2:6" s="7" customFormat="1" ht="13.5">
      <c r="B499" s="30"/>
      <c r="C499" s="30"/>
      <c r="D499" s="31"/>
      <c r="E499" s="35"/>
      <c r="F499" s="129"/>
    </row>
    <row r="500" spans="2:6" s="7" customFormat="1" ht="13.5">
      <c r="B500" s="30"/>
      <c r="C500" s="30"/>
      <c r="D500" s="31"/>
      <c r="E500" s="35"/>
      <c r="F500" s="129"/>
    </row>
    <row r="501" spans="2:6" s="7" customFormat="1" ht="13.5">
      <c r="B501" s="30"/>
      <c r="C501" s="30"/>
      <c r="D501" s="31"/>
      <c r="E501" s="35"/>
      <c r="F501" s="129"/>
    </row>
    <row r="502" spans="2:6" s="7" customFormat="1" ht="13.5">
      <c r="B502" s="30"/>
      <c r="C502" s="30"/>
      <c r="D502" s="31"/>
      <c r="E502" s="35"/>
      <c r="F502" s="129"/>
    </row>
    <row r="503" spans="2:6" s="7" customFormat="1" ht="13.5">
      <c r="B503" s="30"/>
      <c r="C503" s="30"/>
      <c r="D503" s="31"/>
      <c r="E503" s="35"/>
      <c r="F503" s="129"/>
    </row>
    <row r="504" spans="2:6" s="7" customFormat="1" ht="13.5">
      <c r="B504" s="30"/>
      <c r="C504" s="30"/>
      <c r="D504" s="31"/>
      <c r="E504" s="35"/>
      <c r="F504" s="129"/>
    </row>
    <row r="505" spans="2:6" s="7" customFormat="1" ht="13.5">
      <c r="B505" s="30"/>
      <c r="C505" s="30"/>
      <c r="D505" s="31"/>
      <c r="E505" s="35"/>
      <c r="F505" s="129"/>
    </row>
    <row r="506" spans="2:6" s="7" customFormat="1" ht="13.5">
      <c r="B506" s="30"/>
      <c r="C506" s="30"/>
      <c r="D506" s="31"/>
      <c r="E506" s="35"/>
      <c r="F506" s="129"/>
    </row>
    <row r="507" spans="2:6" s="7" customFormat="1" ht="13.5">
      <c r="B507" s="30"/>
      <c r="C507" s="30"/>
      <c r="D507" s="31"/>
      <c r="E507" s="35"/>
      <c r="F507" s="129"/>
    </row>
    <row r="508" spans="2:6" s="7" customFormat="1" ht="13.5">
      <c r="B508" s="30"/>
      <c r="C508" s="30"/>
      <c r="D508" s="31"/>
      <c r="E508" s="35"/>
      <c r="F508" s="129"/>
    </row>
    <row r="509" spans="2:6" s="7" customFormat="1" ht="13.5">
      <c r="B509" s="30"/>
      <c r="C509" s="30"/>
      <c r="D509" s="31"/>
      <c r="E509" s="35"/>
      <c r="F509" s="129"/>
    </row>
    <row r="510" spans="2:6" s="7" customFormat="1" ht="13.5">
      <c r="B510" s="30"/>
      <c r="C510" s="30"/>
      <c r="D510" s="31"/>
      <c r="E510" s="35"/>
      <c r="F510" s="129"/>
    </row>
    <row r="511" spans="2:6" s="7" customFormat="1" ht="13.5">
      <c r="B511" s="30"/>
      <c r="C511" s="30"/>
      <c r="D511" s="31"/>
      <c r="E511" s="35"/>
      <c r="F511" s="129"/>
    </row>
    <row r="512" spans="2:6" s="7" customFormat="1" ht="13.5">
      <c r="B512" s="30"/>
      <c r="C512" s="30"/>
      <c r="D512" s="31"/>
      <c r="E512" s="35"/>
      <c r="F512" s="129"/>
    </row>
    <row r="513" spans="2:6" s="7" customFormat="1" ht="13.5">
      <c r="B513" s="30"/>
      <c r="C513" s="30"/>
      <c r="D513" s="31"/>
      <c r="E513" s="35"/>
      <c r="F513" s="129"/>
    </row>
    <row r="514" spans="2:6" s="7" customFormat="1" ht="13.5">
      <c r="B514" s="30"/>
      <c r="C514" s="30"/>
      <c r="D514" s="31"/>
      <c r="E514" s="35"/>
      <c r="F514" s="129"/>
    </row>
    <row r="515" spans="2:6" s="7" customFormat="1" ht="13.5">
      <c r="B515" s="30"/>
      <c r="C515" s="30"/>
      <c r="D515" s="31"/>
      <c r="E515" s="35"/>
      <c r="F515" s="129"/>
    </row>
    <row r="516" spans="2:6" s="7" customFormat="1" ht="13.5">
      <c r="B516" s="30"/>
      <c r="C516" s="30"/>
      <c r="D516" s="31"/>
      <c r="E516" s="35"/>
      <c r="F516" s="129"/>
    </row>
    <row r="517" spans="2:6" s="7" customFormat="1" ht="13.5">
      <c r="B517" s="30"/>
      <c r="C517" s="30"/>
      <c r="D517" s="31"/>
      <c r="E517" s="35"/>
      <c r="F517" s="129"/>
    </row>
    <row r="518" spans="2:6" s="7" customFormat="1" ht="13.5">
      <c r="B518" s="30"/>
      <c r="C518" s="30"/>
      <c r="D518" s="31"/>
      <c r="E518" s="35"/>
      <c r="F518" s="129"/>
    </row>
    <row r="519" spans="2:6" s="7" customFormat="1" ht="13.5">
      <c r="B519" s="30"/>
      <c r="C519" s="30"/>
      <c r="D519" s="31"/>
      <c r="E519" s="35"/>
      <c r="F519" s="129"/>
    </row>
    <row r="520" spans="2:6" s="7" customFormat="1" ht="13.5">
      <c r="B520" s="30"/>
      <c r="C520" s="30"/>
      <c r="D520" s="31"/>
      <c r="E520" s="35"/>
      <c r="F520" s="129"/>
    </row>
    <row r="521" spans="2:6" s="7" customFormat="1" ht="13.5">
      <c r="B521" s="30"/>
      <c r="C521" s="30"/>
      <c r="D521" s="31"/>
      <c r="E521" s="35"/>
      <c r="F521" s="129"/>
    </row>
    <row r="522" spans="2:6" s="7" customFormat="1" ht="13.5">
      <c r="B522" s="30"/>
      <c r="C522" s="30"/>
      <c r="D522" s="31"/>
      <c r="E522" s="35"/>
      <c r="F522" s="129"/>
    </row>
    <row r="523" spans="2:6" s="7" customFormat="1" ht="13.5">
      <c r="B523" s="30"/>
      <c r="C523" s="30"/>
      <c r="D523" s="31"/>
      <c r="E523" s="35"/>
      <c r="F523" s="129"/>
    </row>
    <row r="524" spans="2:6" s="7" customFormat="1" ht="13.5">
      <c r="B524" s="30"/>
      <c r="C524" s="30"/>
      <c r="D524" s="31"/>
      <c r="E524" s="35"/>
      <c r="F524" s="129"/>
    </row>
    <row r="525" spans="2:6" s="7" customFormat="1" ht="13.5">
      <c r="B525" s="30"/>
      <c r="C525" s="30"/>
      <c r="D525" s="31"/>
      <c r="E525" s="35"/>
      <c r="F525" s="129"/>
    </row>
    <row r="526" spans="2:6" s="7" customFormat="1" ht="13.5">
      <c r="B526" s="30"/>
      <c r="C526" s="30"/>
      <c r="D526" s="31"/>
      <c r="E526" s="35"/>
      <c r="F526" s="129"/>
    </row>
    <row r="527" spans="2:6" s="7" customFormat="1" ht="13.5">
      <c r="B527" s="30"/>
      <c r="C527" s="30"/>
      <c r="D527" s="31"/>
      <c r="E527" s="35"/>
      <c r="F527" s="129"/>
    </row>
    <row r="528" spans="2:6" s="7" customFormat="1" ht="13.5">
      <c r="B528" s="30"/>
      <c r="C528" s="30"/>
      <c r="D528" s="31"/>
      <c r="E528" s="35"/>
      <c r="F528" s="129"/>
    </row>
    <row r="529" spans="2:6" s="7" customFormat="1" ht="13.5">
      <c r="B529" s="30"/>
      <c r="C529" s="30"/>
      <c r="D529" s="31"/>
      <c r="E529" s="35"/>
      <c r="F529" s="129"/>
    </row>
    <row r="530" spans="2:6" s="7" customFormat="1" ht="13.5">
      <c r="B530" s="30"/>
      <c r="C530" s="30"/>
      <c r="D530" s="31"/>
      <c r="E530" s="35"/>
      <c r="F530" s="129"/>
    </row>
    <row r="531" spans="2:6" s="7" customFormat="1" ht="13.5">
      <c r="B531" s="30"/>
      <c r="C531" s="30"/>
      <c r="D531" s="31"/>
      <c r="E531" s="35"/>
      <c r="F531" s="129"/>
    </row>
    <row r="532" spans="2:6" s="7" customFormat="1" ht="13.5">
      <c r="B532" s="30"/>
      <c r="C532" s="30"/>
      <c r="D532" s="31"/>
      <c r="E532" s="35"/>
      <c r="F532" s="129"/>
    </row>
    <row r="533" spans="2:6" s="7" customFormat="1" ht="13.5">
      <c r="B533" s="30"/>
      <c r="C533" s="30"/>
      <c r="D533" s="31"/>
      <c r="E533" s="35"/>
      <c r="F533" s="129"/>
    </row>
    <row r="534" spans="2:6" s="7" customFormat="1" ht="13.5">
      <c r="B534" s="30"/>
      <c r="C534" s="30"/>
      <c r="D534" s="31"/>
      <c r="E534" s="35"/>
      <c r="F534" s="129"/>
    </row>
    <row r="535" spans="2:6" s="7" customFormat="1" ht="13.5">
      <c r="B535" s="30"/>
      <c r="C535" s="30"/>
      <c r="D535" s="31"/>
      <c r="E535" s="35"/>
      <c r="F535" s="129"/>
    </row>
    <row r="536" spans="2:6" s="7" customFormat="1" ht="13.5">
      <c r="B536" s="30"/>
      <c r="C536" s="30"/>
      <c r="D536" s="31"/>
      <c r="E536" s="35"/>
      <c r="F536" s="129"/>
    </row>
    <row r="537" spans="2:6" s="7" customFormat="1" ht="13.5">
      <c r="B537" s="30"/>
      <c r="C537" s="30"/>
      <c r="D537" s="31"/>
      <c r="E537" s="35"/>
      <c r="F537" s="129"/>
    </row>
    <row r="538" spans="2:6" s="7" customFormat="1" ht="13.5">
      <c r="B538" s="30"/>
      <c r="C538" s="30"/>
      <c r="D538" s="31"/>
      <c r="E538" s="35"/>
      <c r="F538" s="129"/>
    </row>
    <row r="539" spans="2:6" s="7" customFormat="1" ht="13.5">
      <c r="B539" s="30"/>
      <c r="C539" s="30"/>
      <c r="D539" s="31"/>
      <c r="E539" s="35"/>
      <c r="F539" s="129"/>
    </row>
    <row r="540" spans="2:6" s="7" customFormat="1" ht="13.5">
      <c r="B540" s="30"/>
      <c r="C540" s="30"/>
      <c r="D540" s="31"/>
      <c r="E540" s="35"/>
      <c r="F540" s="129"/>
    </row>
    <row r="541" spans="2:6" s="7" customFormat="1" ht="13.5">
      <c r="B541" s="30"/>
      <c r="C541" s="30"/>
      <c r="D541" s="31"/>
      <c r="E541" s="35"/>
      <c r="F541" s="129"/>
    </row>
    <row r="542" spans="2:6" s="7" customFormat="1" ht="13.5">
      <c r="B542" s="30"/>
      <c r="C542" s="30"/>
      <c r="D542" s="31"/>
      <c r="E542" s="35"/>
      <c r="F542" s="129"/>
    </row>
    <row r="543" spans="2:6" s="7" customFormat="1" ht="13.5">
      <c r="B543" s="30"/>
      <c r="C543" s="30"/>
      <c r="D543" s="31"/>
      <c r="E543" s="35"/>
      <c r="F543" s="129"/>
    </row>
    <row r="544" spans="2:6" s="7" customFormat="1" ht="13.5">
      <c r="B544" s="30"/>
      <c r="C544" s="30"/>
      <c r="D544" s="31"/>
      <c r="E544" s="35"/>
      <c r="F544" s="129"/>
    </row>
    <row r="545" spans="2:6" s="7" customFormat="1" ht="13.5">
      <c r="B545" s="30"/>
      <c r="C545" s="30"/>
      <c r="D545" s="31"/>
      <c r="E545" s="35"/>
      <c r="F545" s="129"/>
    </row>
    <row r="546" spans="2:6" s="7" customFormat="1" ht="13.5">
      <c r="B546" s="30"/>
      <c r="C546" s="30"/>
      <c r="D546" s="31"/>
      <c r="E546" s="35"/>
      <c r="F546" s="129"/>
    </row>
    <row r="547" spans="2:6" s="7" customFormat="1" ht="13.5">
      <c r="B547" s="30"/>
      <c r="C547" s="30"/>
      <c r="D547" s="31"/>
      <c r="E547" s="35"/>
      <c r="F547" s="129"/>
    </row>
    <row r="548" spans="2:6" s="7" customFormat="1" ht="13.5">
      <c r="B548" s="30"/>
      <c r="C548" s="30"/>
      <c r="D548" s="31"/>
      <c r="E548" s="35"/>
      <c r="F548" s="129"/>
    </row>
    <row r="549" spans="2:6" s="7" customFormat="1" ht="13.5">
      <c r="B549" s="30"/>
      <c r="C549" s="30"/>
      <c r="D549" s="31"/>
      <c r="E549" s="35"/>
      <c r="F549" s="129"/>
    </row>
    <row r="550" spans="2:6" s="7" customFormat="1" ht="13.5">
      <c r="B550" s="30"/>
      <c r="C550" s="30"/>
      <c r="D550" s="31"/>
      <c r="E550" s="35"/>
      <c r="F550" s="129"/>
    </row>
    <row r="551" spans="2:6" s="7" customFormat="1" ht="13.5">
      <c r="B551" s="30"/>
      <c r="C551" s="30"/>
      <c r="D551" s="31"/>
      <c r="E551" s="35"/>
      <c r="F551" s="129"/>
    </row>
    <row r="552" spans="2:6" s="7" customFormat="1" ht="13.5">
      <c r="B552" s="30"/>
      <c r="C552" s="30"/>
      <c r="D552" s="31"/>
      <c r="E552" s="35"/>
      <c r="F552" s="129"/>
    </row>
    <row r="553" spans="2:6" s="7" customFormat="1" ht="13.5">
      <c r="B553" s="30"/>
      <c r="C553" s="30"/>
      <c r="D553" s="31"/>
      <c r="E553" s="35"/>
      <c r="F553" s="129"/>
    </row>
    <row r="554" spans="2:6" s="7" customFormat="1" ht="13.5">
      <c r="B554" s="30"/>
      <c r="C554" s="30"/>
      <c r="D554" s="31"/>
      <c r="E554" s="35"/>
      <c r="F554" s="129"/>
    </row>
    <row r="555" spans="2:6" s="7" customFormat="1" ht="13.5">
      <c r="B555" s="30"/>
      <c r="C555" s="30"/>
      <c r="D555" s="31"/>
      <c r="E555" s="35"/>
      <c r="F555" s="129"/>
    </row>
    <row r="556" spans="2:6" s="7" customFormat="1" ht="13.5">
      <c r="B556" s="30"/>
      <c r="C556" s="30"/>
      <c r="D556" s="31"/>
      <c r="E556" s="35"/>
      <c r="F556" s="129"/>
    </row>
    <row r="557" spans="2:6" s="7" customFormat="1" ht="13.5">
      <c r="B557" s="30"/>
      <c r="C557" s="30"/>
      <c r="D557" s="31"/>
      <c r="E557" s="35"/>
      <c r="F557" s="129"/>
    </row>
    <row r="558" spans="2:6" s="7" customFormat="1" ht="13.5">
      <c r="B558" s="30"/>
      <c r="C558" s="30"/>
      <c r="D558" s="31"/>
      <c r="E558" s="35"/>
      <c r="F558" s="129"/>
    </row>
    <row r="559" spans="2:6" s="7" customFormat="1" ht="13.5">
      <c r="B559" s="30"/>
      <c r="C559" s="30"/>
      <c r="D559" s="31"/>
      <c r="E559" s="35"/>
      <c r="F559" s="129"/>
    </row>
    <row r="560" spans="2:6" s="7" customFormat="1" ht="13.5">
      <c r="B560" s="30"/>
      <c r="C560" s="30"/>
      <c r="D560" s="31"/>
      <c r="E560" s="35"/>
      <c r="F560" s="129"/>
    </row>
    <row r="561" spans="2:6" s="7" customFormat="1" ht="13.5">
      <c r="B561" s="30"/>
      <c r="C561" s="30"/>
      <c r="D561" s="31"/>
      <c r="E561" s="35"/>
      <c r="F561" s="129"/>
    </row>
    <row r="562" spans="2:6" s="7" customFormat="1" ht="13.5">
      <c r="B562" s="30"/>
      <c r="C562" s="30"/>
      <c r="D562" s="31"/>
      <c r="E562" s="35"/>
      <c r="F562" s="129"/>
    </row>
    <row r="563" spans="2:6" s="7" customFormat="1" ht="13.5">
      <c r="B563" s="30"/>
      <c r="C563" s="30"/>
      <c r="D563" s="31"/>
      <c r="E563" s="35"/>
      <c r="F563" s="129"/>
    </row>
    <row r="564" spans="2:6" s="7" customFormat="1" ht="13.5">
      <c r="B564" s="30"/>
      <c r="C564" s="30"/>
      <c r="D564" s="31"/>
      <c r="E564" s="35"/>
      <c r="F564" s="129"/>
    </row>
    <row r="565" spans="2:6" s="7" customFormat="1" ht="13.5">
      <c r="B565" s="30"/>
      <c r="C565" s="30"/>
      <c r="D565" s="31"/>
      <c r="E565" s="35"/>
      <c r="F565" s="129"/>
    </row>
    <row r="566" spans="2:6" s="7" customFormat="1" ht="13.5">
      <c r="B566" s="30"/>
      <c r="C566" s="30"/>
      <c r="D566" s="31"/>
      <c r="E566" s="35"/>
      <c r="F566" s="129"/>
    </row>
    <row r="567" spans="2:6" s="7" customFormat="1" ht="13.5">
      <c r="B567" s="30"/>
      <c r="C567" s="30"/>
      <c r="D567" s="31"/>
      <c r="E567" s="35"/>
      <c r="F567" s="129"/>
    </row>
    <row r="568" spans="2:6" s="7" customFormat="1" ht="13.5">
      <c r="B568" s="30"/>
      <c r="C568" s="30"/>
      <c r="D568" s="31"/>
      <c r="E568" s="35"/>
      <c r="F568" s="129"/>
    </row>
    <row r="569" spans="2:6" s="7" customFormat="1" ht="13.5">
      <c r="B569" s="30"/>
      <c r="C569" s="30"/>
      <c r="D569" s="31"/>
      <c r="E569" s="35"/>
      <c r="F569" s="129"/>
    </row>
    <row r="570" spans="2:6" s="7" customFormat="1" ht="13.5">
      <c r="B570" s="30"/>
      <c r="C570" s="30"/>
      <c r="D570" s="31"/>
      <c r="E570" s="35"/>
      <c r="F570" s="129"/>
    </row>
    <row r="571" spans="2:6" s="7" customFormat="1" ht="13.5">
      <c r="B571" s="30"/>
      <c r="C571" s="30"/>
      <c r="D571" s="31"/>
      <c r="E571" s="35"/>
      <c r="F571" s="129"/>
    </row>
    <row r="572" spans="2:6" s="7" customFormat="1" ht="13.5">
      <c r="B572" s="30"/>
      <c r="C572" s="30"/>
      <c r="D572" s="31"/>
      <c r="E572" s="35"/>
      <c r="F572" s="129"/>
    </row>
    <row r="573" spans="2:6" s="7" customFormat="1" ht="13.5">
      <c r="B573" s="30"/>
      <c r="C573" s="30"/>
      <c r="D573" s="31"/>
      <c r="E573" s="35"/>
      <c r="F573" s="129"/>
    </row>
    <row r="574" spans="2:6" s="7" customFormat="1" ht="13.5">
      <c r="B574" s="30"/>
      <c r="C574" s="30"/>
      <c r="D574" s="31"/>
      <c r="E574" s="35"/>
      <c r="F574" s="129"/>
    </row>
    <row r="575" spans="2:6" s="7" customFormat="1" ht="13.5">
      <c r="B575" s="30"/>
      <c r="C575" s="30"/>
      <c r="D575" s="31"/>
      <c r="E575" s="35"/>
      <c r="F575" s="129"/>
    </row>
    <row r="576" spans="2:6" s="7" customFormat="1" ht="13.5">
      <c r="B576" s="30"/>
      <c r="C576" s="30"/>
      <c r="D576" s="31"/>
      <c r="E576" s="35"/>
      <c r="F576" s="129"/>
    </row>
    <row r="577" spans="2:6" s="7" customFormat="1" ht="13.5">
      <c r="B577" s="30"/>
      <c r="C577" s="30"/>
      <c r="D577" s="31"/>
      <c r="E577" s="35"/>
      <c r="F577" s="129"/>
    </row>
    <row r="578" spans="2:6" s="7" customFormat="1" ht="13.5">
      <c r="B578" s="30"/>
      <c r="C578" s="30"/>
      <c r="D578" s="31"/>
      <c r="E578" s="35"/>
      <c r="F578" s="129"/>
    </row>
    <row r="579" spans="2:6" s="7" customFormat="1" ht="13.5">
      <c r="B579" s="30"/>
      <c r="C579" s="30"/>
      <c r="D579" s="31"/>
      <c r="E579" s="35"/>
      <c r="F579" s="129"/>
    </row>
    <row r="580" spans="2:6" s="7" customFormat="1" ht="13.5">
      <c r="B580" s="30"/>
      <c r="C580" s="30"/>
      <c r="D580" s="31"/>
      <c r="E580" s="35"/>
      <c r="F580" s="129"/>
    </row>
    <row r="581" spans="2:6" s="7" customFormat="1" ht="13.5">
      <c r="B581" s="30"/>
      <c r="C581" s="30"/>
      <c r="D581" s="31"/>
      <c r="E581" s="35"/>
      <c r="F581" s="129"/>
    </row>
    <row r="582" spans="2:6" s="7" customFormat="1" ht="13.5">
      <c r="B582" s="30"/>
      <c r="C582" s="30"/>
      <c r="D582" s="31"/>
      <c r="E582" s="35"/>
      <c r="F582" s="129"/>
    </row>
    <row r="583" spans="2:6" s="7" customFormat="1" ht="13.5">
      <c r="B583" s="30"/>
      <c r="C583" s="30"/>
      <c r="D583" s="31"/>
      <c r="E583" s="35"/>
      <c r="F583" s="129"/>
    </row>
    <row r="584" spans="2:6" s="7" customFormat="1" ht="13.5">
      <c r="B584" s="30"/>
      <c r="C584" s="30"/>
      <c r="D584" s="31"/>
      <c r="E584" s="35"/>
      <c r="F584" s="129"/>
    </row>
    <row r="585" spans="2:6" s="7" customFormat="1" ht="13.5">
      <c r="B585" s="30"/>
      <c r="C585" s="30"/>
      <c r="D585" s="31"/>
      <c r="E585" s="35"/>
      <c r="F585" s="129"/>
    </row>
    <row r="586" spans="2:6" s="7" customFormat="1" ht="13.5">
      <c r="B586" s="30"/>
      <c r="C586" s="30"/>
      <c r="D586" s="31"/>
      <c r="E586" s="35"/>
      <c r="F586" s="129"/>
    </row>
    <row r="587" spans="2:6" s="7" customFormat="1" ht="13.5">
      <c r="B587" s="30"/>
      <c r="C587" s="30"/>
      <c r="D587" s="31"/>
      <c r="E587" s="35"/>
      <c r="F587" s="129"/>
    </row>
    <row r="588" spans="2:6" s="7" customFormat="1" ht="13.5">
      <c r="B588" s="30"/>
      <c r="C588" s="30"/>
      <c r="D588" s="31"/>
      <c r="E588" s="35"/>
      <c r="F588" s="129"/>
    </row>
    <row r="589" spans="2:6" s="7" customFormat="1" ht="13.5">
      <c r="B589" s="30"/>
      <c r="C589" s="30"/>
      <c r="D589" s="31"/>
      <c r="E589" s="35"/>
      <c r="F589" s="129"/>
    </row>
    <row r="590" spans="2:6" s="7" customFormat="1" ht="13.5">
      <c r="B590" s="30"/>
      <c r="C590" s="30"/>
      <c r="D590" s="31"/>
      <c r="E590" s="35"/>
      <c r="F590" s="129"/>
    </row>
    <row r="591" spans="2:6" s="7" customFormat="1" ht="13.5">
      <c r="B591" s="30"/>
      <c r="C591" s="30"/>
      <c r="D591" s="31"/>
      <c r="E591" s="35"/>
      <c r="F591" s="129"/>
    </row>
    <row r="592" spans="2:6" s="7" customFormat="1" ht="13.5">
      <c r="B592" s="30"/>
      <c r="C592" s="30"/>
      <c r="D592" s="31"/>
      <c r="E592" s="35"/>
      <c r="F592" s="129"/>
    </row>
    <row r="593" spans="2:6" s="7" customFormat="1" ht="13.5">
      <c r="B593" s="30"/>
      <c r="C593" s="30"/>
      <c r="D593" s="31"/>
      <c r="E593" s="35"/>
      <c r="F593" s="129"/>
    </row>
    <row r="594" spans="2:6" s="7" customFormat="1" ht="13.5">
      <c r="B594" s="30"/>
      <c r="C594" s="30"/>
      <c r="D594" s="31"/>
      <c r="E594" s="35"/>
      <c r="F594" s="129"/>
    </row>
    <row r="595" spans="2:6" s="7" customFormat="1" ht="13.5">
      <c r="B595" s="30"/>
      <c r="C595" s="30"/>
      <c r="D595" s="31"/>
      <c r="E595" s="35"/>
      <c r="F595" s="129"/>
    </row>
    <row r="596" spans="2:6" s="7" customFormat="1" ht="13.5">
      <c r="B596" s="30"/>
      <c r="C596" s="30"/>
      <c r="D596" s="31"/>
      <c r="E596" s="35"/>
      <c r="F596" s="129"/>
    </row>
    <row r="597" spans="2:6" s="7" customFormat="1" ht="13.5">
      <c r="B597" s="30"/>
      <c r="C597" s="30"/>
      <c r="D597" s="31"/>
      <c r="E597" s="35"/>
      <c r="F597" s="129"/>
    </row>
    <row r="598" spans="2:6" s="7" customFormat="1" ht="13.5">
      <c r="B598" s="30"/>
      <c r="C598" s="30"/>
      <c r="D598" s="31"/>
      <c r="E598" s="35"/>
      <c r="F598" s="129"/>
    </row>
    <row r="599" spans="2:6" s="7" customFormat="1" ht="13.5">
      <c r="B599" s="30"/>
      <c r="C599" s="30"/>
      <c r="D599" s="31"/>
      <c r="E599" s="35"/>
      <c r="F599" s="129"/>
    </row>
    <row r="600" spans="2:6" s="7" customFormat="1" ht="13.5">
      <c r="B600" s="30"/>
      <c r="C600" s="30"/>
      <c r="D600" s="31"/>
      <c r="E600" s="35"/>
      <c r="F600" s="129"/>
    </row>
    <row r="601" spans="2:6" s="7" customFormat="1" ht="13.5">
      <c r="B601" s="30"/>
      <c r="C601" s="30"/>
      <c r="D601" s="31"/>
      <c r="E601" s="35"/>
      <c r="F601" s="129"/>
    </row>
    <row r="602" spans="2:6" s="7" customFormat="1" ht="13.5">
      <c r="B602" s="30"/>
      <c r="C602" s="30"/>
      <c r="D602" s="31"/>
      <c r="E602" s="35"/>
      <c r="F602" s="129"/>
    </row>
    <row r="603" spans="2:6" s="7" customFormat="1" ht="13.5">
      <c r="B603" s="30"/>
      <c r="C603" s="30"/>
      <c r="D603" s="31"/>
      <c r="E603" s="35"/>
      <c r="F603" s="129"/>
    </row>
    <row r="604" spans="2:6" s="7" customFormat="1" ht="13.5">
      <c r="B604" s="30"/>
      <c r="C604" s="30"/>
      <c r="D604" s="31"/>
      <c r="E604" s="35"/>
      <c r="F604" s="129"/>
    </row>
    <row r="605" spans="2:6" s="7" customFormat="1" ht="13.5">
      <c r="B605" s="30"/>
      <c r="C605" s="30"/>
      <c r="D605" s="31"/>
      <c r="E605" s="35"/>
      <c r="F605" s="129"/>
    </row>
    <row r="606" spans="2:6" s="7" customFormat="1" ht="13.5">
      <c r="B606" s="30"/>
      <c r="C606" s="30"/>
      <c r="D606" s="31"/>
      <c r="E606" s="35"/>
      <c r="F606" s="129"/>
    </row>
    <row r="607" spans="2:6" s="7" customFormat="1" ht="13.5">
      <c r="B607" s="30"/>
      <c r="C607" s="30"/>
      <c r="D607" s="31"/>
      <c r="E607" s="35"/>
      <c r="F607" s="129"/>
    </row>
    <row r="608" spans="2:6" s="7" customFormat="1" ht="13.5">
      <c r="B608" s="30"/>
      <c r="C608" s="30"/>
      <c r="D608" s="31"/>
      <c r="E608" s="35"/>
      <c r="F608" s="129"/>
    </row>
    <row r="609" spans="2:6" s="7" customFormat="1" ht="13.5">
      <c r="B609" s="30"/>
      <c r="C609" s="30"/>
      <c r="D609" s="31"/>
      <c r="E609" s="35"/>
      <c r="F609" s="129"/>
    </row>
    <row r="610" spans="2:6" s="7" customFormat="1" ht="13.5">
      <c r="B610" s="30"/>
      <c r="C610" s="30"/>
      <c r="D610" s="31"/>
      <c r="E610" s="35"/>
      <c r="F610" s="129"/>
    </row>
    <row r="611" spans="2:6" s="7" customFormat="1" ht="13.5">
      <c r="B611" s="30"/>
      <c r="C611" s="30"/>
      <c r="D611" s="31"/>
      <c r="E611" s="35"/>
      <c r="F611" s="129"/>
    </row>
    <row r="612" spans="2:6" s="7" customFormat="1" ht="13.5">
      <c r="B612" s="30"/>
      <c r="C612" s="30"/>
      <c r="D612" s="31"/>
      <c r="E612" s="35"/>
      <c r="F612" s="129"/>
    </row>
    <row r="613" spans="2:6" s="7" customFormat="1" ht="13.5">
      <c r="B613" s="30"/>
      <c r="C613" s="30"/>
      <c r="D613" s="31"/>
      <c r="E613" s="35"/>
      <c r="F613" s="129"/>
    </row>
    <row r="614" spans="2:6" s="7" customFormat="1" ht="13.5">
      <c r="B614" s="30"/>
      <c r="C614" s="30"/>
      <c r="D614" s="31"/>
      <c r="E614" s="35"/>
      <c r="F614" s="129"/>
    </row>
    <row r="615" spans="2:6" s="7" customFormat="1" ht="13.5">
      <c r="B615" s="30"/>
      <c r="C615" s="30"/>
      <c r="D615" s="31"/>
      <c r="E615" s="35"/>
      <c r="F615" s="129"/>
    </row>
    <row r="616" spans="2:6" s="7" customFormat="1" ht="13.5">
      <c r="B616" s="30"/>
      <c r="C616" s="30"/>
      <c r="D616" s="31"/>
      <c r="E616" s="35"/>
      <c r="F616" s="129"/>
    </row>
    <row r="617" spans="2:6" s="7" customFormat="1" ht="13.5">
      <c r="B617" s="30"/>
      <c r="C617" s="30"/>
      <c r="D617" s="31"/>
      <c r="E617" s="35"/>
      <c r="F617" s="129"/>
    </row>
    <row r="618" spans="2:6" s="7" customFormat="1" ht="13.5">
      <c r="B618" s="30"/>
      <c r="C618" s="30"/>
      <c r="D618" s="31"/>
      <c r="E618" s="35"/>
      <c r="F618" s="129"/>
    </row>
    <row r="619" spans="2:6" s="7" customFormat="1" ht="13.5">
      <c r="B619" s="30"/>
      <c r="C619" s="30"/>
      <c r="D619" s="31"/>
      <c r="E619" s="35"/>
      <c r="F619" s="129"/>
    </row>
    <row r="620" spans="2:6" s="7" customFormat="1" ht="13.5">
      <c r="B620" s="30"/>
      <c r="C620" s="30"/>
      <c r="D620" s="31"/>
      <c r="E620" s="35"/>
      <c r="F620" s="129"/>
    </row>
    <row r="621" spans="2:6" s="7" customFormat="1" ht="13.5">
      <c r="B621" s="30"/>
      <c r="C621" s="30"/>
      <c r="D621" s="31"/>
      <c r="E621" s="35"/>
      <c r="F621" s="129"/>
    </row>
    <row r="622" spans="2:6" s="7" customFormat="1" ht="13.5">
      <c r="B622" s="30"/>
      <c r="C622" s="30"/>
      <c r="D622" s="31"/>
      <c r="E622" s="35"/>
      <c r="F622" s="129"/>
    </row>
    <row r="623" spans="2:6" s="7" customFormat="1" ht="13.5">
      <c r="B623" s="30"/>
      <c r="C623" s="30"/>
      <c r="D623" s="31"/>
      <c r="E623" s="35"/>
      <c r="F623" s="129"/>
    </row>
    <row r="624" spans="2:6" s="7" customFormat="1" ht="13.5">
      <c r="B624" s="30"/>
      <c r="C624" s="30"/>
      <c r="D624" s="31"/>
      <c r="E624" s="35"/>
      <c r="F624" s="129"/>
    </row>
    <row r="625" spans="2:6" s="7" customFormat="1" ht="13.5">
      <c r="B625" s="30"/>
      <c r="C625" s="30"/>
      <c r="D625" s="31"/>
      <c r="E625" s="35"/>
      <c r="F625" s="129"/>
    </row>
    <row r="626" spans="2:6" s="7" customFormat="1" ht="13.5">
      <c r="B626" s="30"/>
      <c r="C626" s="30"/>
      <c r="D626" s="31"/>
      <c r="E626" s="35"/>
      <c r="F626" s="129"/>
    </row>
    <row r="627" spans="2:6" s="7" customFormat="1" ht="13.5">
      <c r="B627" s="30"/>
      <c r="C627" s="30"/>
      <c r="D627" s="31"/>
      <c r="E627" s="35"/>
      <c r="F627" s="129"/>
    </row>
    <row r="628" spans="2:6" s="7" customFormat="1" ht="13.5">
      <c r="B628" s="30"/>
      <c r="C628" s="30"/>
      <c r="D628" s="31"/>
      <c r="E628" s="35"/>
      <c r="F628" s="129"/>
    </row>
    <row r="629" spans="2:6" s="7" customFormat="1" ht="13.5">
      <c r="B629" s="30"/>
      <c r="C629" s="30"/>
      <c r="D629" s="31"/>
      <c r="E629" s="35"/>
      <c r="F629" s="129"/>
    </row>
    <row r="630" spans="2:6" s="7" customFormat="1" ht="13.5">
      <c r="B630" s="30"/>
      <c r="C630" s="30"/>
      <c r="D630" s="31"/>
      <c r="E630" s="35"/>
      <c r="F630" s="129"/>
    </row>
    <row r="631" spans="2:6" s="7" customFormat="1" ht="13.5">
      <c r="B631" s="30"/>
      <c r="C631" s="30"/>
      <c r="D631" s="31"/>
      <c r="E631" s="35"/>
      <c r="F631" s="129"/>
    </row>
    <row r="632" spans="2:6" s="7" customFormat="1" ht="13.5">
      <c r="B632" s="30"/>
      <c r="C632" s="30"/>
      <c r="D632" s="31"/>
      <c r="E632" s="35"/>
      <c r="F632" s="129"/>
    </row>
    <row r="633" spans="2:6" s="7" customFormat="1" ht="13.5">
      <c r="B633" s="30"/>
      <c r="C633" s="30"/>
      <c r="D633" s="31"/>
      <c r="E633" s="35"/>
      <c r="F633" s="129"/>
    </row>
    <row r="634" spans="2:6" s="7" customFormat="1" ht="13.5">
      <c r="B634" s="30"/>
      <c r="C634" s="30"/>
      <c r="D634" s="31"/>
      <c r="E634" s="35"/>
      <c r="F634" s="129"/>
    </row>
    <row r="635" spans="2:6" s="7" customFormat="1" ht="13.5">
      <c r="B635" s="30"/>
      <c r="C635" s="30"/>
      <c r="D635" s="31"/>
      <c r="E635" s="35"/>
      <c r="F635" s="129"/>
    </row>
    <row r="636" spans="2:6" s="7" customFormat="1" ht="13.5">
      <c r="B636" s="30"/>
      <c r="C636" s="30"/>
      <c r="D636" s="31"/>
      <c r="E636" s="35"/>
      <c r="F636" s="129"/>
    </row>
    <row r="637" spans="2:6" s="7" customFormat="1" ht="13.5">
      <c r="B637" s="30"/>
      <c r="C637" s="30"/>
      <c r="D637" s="31"/>
      <c r="E637" s="35"/>
      <c r="F637" s="129"/>
    </row>
    <row r="638" spans="2:6" s="7" customFormat="1" ht="13.5">
      <c r="B638" s="30"/>
      <c r="C638" s="30"/>
      <c r="D638" s="31"/>
      <c r="E638" s="35"/>
      <c r="F638" s="129"/>
    </row>
    <row r="639" spans="2:6" s="7" customFormat="1" ht="13.5">
      <c r="B639" s="30"/>
      <c r="C639" s="30"/>
      <c r="D639" s="31"/>
      <c r="E639" s="35"/>
      <c r="F639" s="129"/>
    </row>
    <row r="640" spans="2:6" s="7" customFormat="1" ht="13.5">
      <c r="B640" s="30"/>
      <c r="C640" s="30"/>
      <c r="D640" s="31"/>
      <c r="E640" s="35"/>
      <c r="F640" s="129"/>
    </row>
    <row r="641" spans="2:6" s="7" customFormat="1" ht="13.5">
      <c r="B641" s="30"/>
      <c r="C641" s="30"/>
      <c r="D641" s="31"/>
      <c r="E641" s="35"/>
      <c r="F641" s="129"/>
    </row>
    <row r="642" spans="2:6" s="7" customFormat="1" ht="13.5">
      <c r="B642" s="30"/>
      <c r="C642" s="30"/>
      <c r="D642" s="31"/>
      <c r="E642" s="35"/>
      <c r="F642" s="129"/>
    </row>
    <row r="643" spans="2:6" s="7" customFormat="1" ht="13.5">
      <c r="B643" s="30"/>
      <c r="C643" s="30"/>
      <c r="D643" s="31"/>
      <c r="E643" s="35"/>
      <c r="F643" s="129"/>
    </row>
    <row r="644" spans="2:6" s="7" customFormat="1" ht="13.5">
      <c r="B644" s="30"/>
      <c r="C644" s="30"/>
      <c r="D644" s="31"/>
      <c r="E644" s="35"/>
      <c r="F644" s="129"/>
    </row>
    <row r="645" spans="2:6" s="7" customFormat="1" ht="13.5">
      <c r="B645" s="30"/>
      <c r="C645" s="30"/>
      <c r="D645" s="31"/>
      <c r="E645" s="35"/>
      <c r="F645" s="129"/>
    </row>
    <row r="646" spans="2:6" s="7" customFormat="1" ht="13.5">
      <c r="B646" s="30"/>
      <c r="C646" s="30"/>
      <c r="D646" s="31"/>
      <c r="E646" s="35"/>
      <c r="F646" s="129"/>
    </row>
    <row r="647" spans="2:6" s="7" customFormat="1" ht="13.5">
      <c r="B647" s="30"/>
      <c r="C647" s="30"/>
      <c r="D647" s="31"/>
      <c r="E647" s="35"/>
      <c r="F647" s="129"/>
    </row>
    <row r="648" spans="2:6" s="7" customFormat="1" ht="13.5">
      <c r="B648" s="30"/>
      <c r="C648" s="30"/>
      <c r="D648" s="31"/>
      <c r="E648" s="35"/>
      <c r="F648" s="129"/>
    </row>
    <row r="649" spans="2:6" s="7" customFormat="1" ht="13.5">
      <c r="B649" s="30"/>
      <c r="C649" s="30"/>
      <c r="D649" s="31"/>
      <c r="E649" s="35"/>
      <c r="F649" s="129"/>
    </row>
    <row r="650" spans="2:6" s="7" customFormat="1" ht="13.5">
      <c r="B650" s="30"/>
      <c r="C650" s="30"/>
      <c r="D650" s="31"/>
      <c r="E650" s="35"/>
      <c r="F650" s="129"/>
    </row>
    <row r="651" spans="2:6" s="7" customFormat="1" ht="13.5">
      <c r="B651" s="30"/>
      <c r="C651" s="30"/>
      <c r="D651" s="31"/>
      <c r="E651" s="35"/>
      <c r="F651" s="129"/>
    </row>
    <row r="652" spans="2:6" s="7" customFormat="1" ht="13.5">
      <c r="B652" s="30"/>
      <c r="C652" s="30"/>
      <c r="D652" s="31"/>
      <c r="E652" s="35"/>
      <c r="F652" s="129"/>
    </row>
    <row r="653" spans="2:6" s="7" customFormat="1" ht="13.5">
      <c r="B653" s="30"/>
      <c r="C653" s="30"/>
      <c r="D653" s="31"/>
      <c r="E653" s="35"/>
      <c r="F653" s="129"/>
    </row>
    <row r="654" spans="2:6" s="7" customFormat="1" ht="13.5">
      <c r="B654" s="30"/>
      <c r="C654" s="30"/>
      <c r="D654" s="31"/>
      <c r="E654" s="35"/>
      <c r="F654" s="129"/>
    </row>
    <row r="655" spans="2:6" s="7" customFormat="1" ht="13.5">
      <c r="B655" s="30"/>
      <c r="C655" s="30"/>
      <c r="D655" s="31"/>
      <c r="E655" s="35"/>
      <c r="F655" s="129"/>
    </row>
    <row r="656" spans="2:6" s="7" customFormat="1" ht="13.5">
      <c r="B656" s="30"/>
      <c r="C656" s="30"/>
      <c r="D656" s="31"/>
      <c r="E656" s="35"/>
      <c r="F656" s="129"/>
    </row>
    <row r="657" spans="2:6" s="7" customFormat="1" ht="13.5">
      <c r="B657" s="30"/>
      <c r="C657" s="30"/>
      <c r="D657" s="31"/>
      <c r="E657" s="35"/>
      <c r="F657" s="129"/>
    </row>
    <row r="658" spans="2:6" s="7" customFormat="1" ht="13.5">
      <c r="B658" s="30"/>
      <c r="C658" s="30"/>
      <c r="D658" s="31"/>
      <c r="E658" s="35"/>
      <c r="F658" s="129"/>
    </row>
    <row r="659" spans="2:6" s="7" customFormat="1" ht="13.5">
      <c r="B659" s="30"/>
      <c r="C659" s="30"/>
      <c r="D659" s="31"/>
      <c r="E659" s="35"/>
      <c r="F659" s="129"/>
    </row>
    <row r="660" spans="2:6" s="7" customFormat="1" ht="13.5">
      <c r="B660" s="30"/>
      <c r="C660" s="30"/>
      <c r="D660" s="31"/>
      <c r="E660" s="35"/>
      <c r="F660" s="129"/>
    </row>
    <row r="661" spans="2:6" s="7" customFormat="1" ht="13.5">
      <c r="B661" s="30"/>
      <c r="C661" s="30"/>
      <c r="D661" s="31"/>
      <c r="E661" s="35"/>
      <c r="F661" s="129"/>
    </row>
    <row r="662" spans="2:6" s="7" customFormat="1" ht="13.5">
      <c r="B662" s="30"/>
      <c r="C662" s="30"/>
      <c r="D662" s="31"/>
      <c r="E662" s="35"/>
      <c r="F662" s="129"/>
    </row>
    <row r="663" spans="2:6" s="7" customFormat="1" ht="13.5">
      <c r="B663" s="30"/>
      <c r="C663" s="30"/>
      <c r="D663" s="31"/>
      <c r="E663" s="35"/>
      <c r="F663" s="129"/>
    </row>
    <row r="664" spans="2:6" s="7" customFormat="1" ht="13.5">
      <c r="B664" s="30"/>
      <c r="C664" s="30"/>
      <c r="D664" s="31"/>
      <c r="E664" s="35"/>
      <c r="F664" s="129"/>
    </row>
    <row r="665" spans="2:6" s="7" customFormat="1" ht="13.5">
      <c r="B665" s="30"/>
      <c r="C665" s="30"/>
      <c r="D665" s="31"/>
      <c r="E665" s="35"/>
      <c r="F665" s="129"/>
    </row>
    <row r="666" spans="2:6" s="7" customFormat="1" ht="13.5">
      <c r="B666" s="30"/>
      <c r="C666" s="30"/>
      <c r="D666" s="31"/>
      <c r="E666" s="35"/>
      <c r="F666" s="129"/>
    </row>
    <row r="667" spans="2:6" s="7" customFormat="1" ht="13.5">
      <c r="B667" s="30"/>
      <c r="C667" s="30"/>
      <c r="D667" s="31"/>
      <c r="E667" s="35"/>
      <c r="F667" s="129"/>
    </row>
    <row r="668" spans="2:6" s="7" customFormat="1" ht="13.5">
      <c r="B668" s="30"/>
      <c r="C668" s="30"/>
      <c r="D668" s="31"/>
      <c r="E668" s="35"/>
      <c r="F668" s="129"/>
    </row>
    <row r="669" spans="2:6" s="7" customFormat="1" ht="13.5">
      <c r="B669" s="30"/>
      <c r="C669" s="30"/>
      <c r="D669" s="31"/>
      <c r="E669" s="35"/>
      <c r="F669" s="129"/>
    </row>
    <row r="670" spans="2:6" s="7" customFormat="1" ht="13.5">
      <c r="B670" s="30"/>
      <c r="C670" s="30"/>
      <c r="D670" s="31"/>
      <c r="E670" s="35"/>
      <c r="F670" s="129"/>
    </row>
    <row r="671" spans="2:6" s="7" customFormat="1" ht="13.5">
      <c r="B671" s="30"/>
      <c r="C671" s="30"/>
      <c r="D671" s="31"/>
      <c r="E671" s="35"/>
      <c r="F671" s="129"/>
    </row>
    <row r="672" spans="2:6" s="7" customFormat="1" ht="13.5">
      <c r="B672" s="30"/>
      <c r="C672" s="30"/>
      <c r="D672" s="31"/>
      <c r="E672" s="35"/>
      <c r="F672" s="129"/>
    </row>
    <row r="673" spans="2:6" s="7" customFormat="1" ht="13.5">
      <c r="B673" s="30"/>
      <c r="C673" s="30"/>
      <c r="D673" s="31"/>
      <c r="E673" s="35"/>
      <c r="F673" s="129"/>
    </row>
    <row r="674" spans="2:6" s="7" customFormat="1" ht="13.5">
      <c r="B674" s="30"/>
      <c r="C674" s="30"/>
      <c r="D674" s="31"/>
      <c r="E674" s="35"/>
      <c r="F674" s="129"/>
    </row>
    <row r="675" spans="2:6" s="7" customFormat="1" ht="13.5">
      <c r="B675" s="30"/>
      <c r="C675" s="30"/>
      <c r="D675" s="31"/>
      <c r="E675" s="35"/>
      <c r="F675" s="129"/>
    </row>
    <row r="676" spans="2:6" s="7" customFormat="1" ht="13.5">
      <c r="B676" s="30"/>
      <c r="C676" s="30"/>
      <c r="D676" s="31"/>
      <c r="E676" s="35"/>
      <c r="F676" s="129"/>
    </row>
    <row r="677" spans="2:6" s="7" customFormat="1" ht="13.5">
      <c r="B677" s="30"/>
      <c r="C677" s="30"/>
      <c r="D677" s="31"/>
      <c r="E677" s="35"/>
      <c r="F677" s="129"/>
    </row>
    <row r="678" spans="2:6" s="7" customFormat="1" ht="13.5">
      <c r="B678" s="30"/>
      <c r="C678" s="30"/>
      <c r="D678" s="31"/>
      <c r="E678" s="35"/>
      <c r="F678" s="129"/>
    </row>
    <row r="679" spans="2:6" s="7" customFormat="1" ht="13.5">
      <c r="B679" s="30"/>
      <c r="C679" s="30"/>
      <c r="D679" s="31"/>
      <c r="E679" s="35"/>
      <c r="F679" s="129"/>
    </row>
    <row r="680" spans="2:6" s="7" customFormat="1" ht="13.5">
      <c r="B680" s="30"/>
      <c r="C680" s="30"/>
      <c r="D680" s="31"/>
      <c r="E680" s="35"/>
      <c r="F680" s="129"/>
    </row>
    <row r="681" spans="2:6" s="7" customFormat="1" ht="13.5">
      <c r="B681" s="30"/>
      <c r="C681" s="30"/>
      <c r="D681" s="31"/>
      <c r="E681" s="35"/>
      <c r="F681" s="129"/>
    </row>
    <row r="682" spans="2:6" s="7" customFormat="1" ht="13.5">
      <c r="B682" s="30"/>
      <c r="C682" s="30"/>
      <c r="D682" s="31"/>
      <c r="E682" s="35"/>
      <c r="F682" s="129"/>
    </row>
    <row r="683" spans="2:6" s="7" customFormat="1" ht="13.5">
      <c r="B683" s="30"/>
      <c r="C683" s="30"/>
      <c r="D683" s="31"/>
      <c r="E683" s="35"/>
      <c r="F683" s="129"/>
    </row>
    <row r="684" spans="2:6" s="7" customFormat="1" ht="13.5">
      <c r="B684" s="30"/>
      <c r="C684" s="30"/>
      <c r="D684" s="31"/>
      <c r="E684" s="35"/>
      <c r="F684" s="129"/>
    </row>
    <row r="685" spans="2:6" s="7" customFormat="1" ht="13.5">
      <c r="B685" s="30"/>
      <c r="C685" s="30"/>
      <c r="D685" s="31"/>
      <c r="E685" s="35"/>
      <c r="F685" s="129"/>
    </row>
    <row r="686" spans="2:6" s="7" customFormat="1" ht="13.5">
      <c r="B686" s="30"/>
      <c r="C686" s="30"/>
      <c r="D686" s="31"/>
      <c r="E686" s="35"/>
      <c r="F686" s="129"/>
    </row>
    <row r="687" spans="2:6" s="7" customFormat="1" ht="13.5">
      <c r="B687" s="30"/>
      <c r="C687" s="30"/>
      <c r="D687" s="31"/>
      <c r="E687" s="35"/>
      <c r="F687" s="129"/>
    </row>
    <row r="688" spans="2:6" s="7" customFormat="1" ht="13.5">
      <c r="B688" s="30"/>
      <c r="C688" s="30"/>
      <c r="D688" s="31"/>
      <c r="E688" s="35"/>
      <c r="F688" s="129"/>
    </row>
    <row r="689" spans="2:6" s="7" customFormat="1" ht="13.5">
      <c r="B689" s="30"/>
      <c r="C689" s="30"/>
      <c r="D689" s="31"/>
      <c r="E689" s="35"/>
      <c r="F689" s="129"/>
    </row>
    <row r="690" spans="2:6" s="7" customFormat="1" ht="13.5">
      <c r="B690" s="30"/>
      <c r="C690" s="30"/>
      <c r="D690" s="31"/>
      <c r="E690" s="35"/>
      <c r="F690" s="129"/>
    </row>
    <row r="691" spans="2:6" s="7" customFormat="1" ht="13.5">
      <c r="B691" s="30"/>
      <c r="C691" s="30"/>
      <c r="D691" s="31"/>
      <c r="E691" s="35"/>
      <c r="F691" s="129"/>
    </row>
    <row r="692" spans="2:6" s="7" customFormat="1" ht="13.5">
      <c r="B692" s="30"/>
      <c r="C692" s="30"/>
      <c r="D692" s="31"/>
      <c r="E692" s="35"/>
      <c r="F692" s="129"/>
    </row>
    <row r="693" spans="2:6" s="7" customFormat="1" ht="13.5">
      <c r="B693" s="30"/>
      <c r="C693" s="30"/>
      <c r="D693" s="31"/>
      <c r="E693" s="35"/>
      <c r="F693" s="129"/>
    </row>
    <row r="694" spans="2:6" s="7" customFormat="1" ht="13.5">
      <c r="B694" s="30"/>
      <c r="C694" s="30"/>
      <c r="D694" s="31"/>
      <c r="E694" s="35"/>
      <c r="F694" s="129"/>
    </row>
    <row r="695" spans="2:6" s="7" customFormat="1" ht="13.5">
      <c r="B695" s="30"/>
      <c r="C695" s="30"/>
      <c r="D695" s="31"/>
      <c r="E695" s="35"/>
      <c r="F695" s="129"/>
    </row>
    <row r="696" spans="2:6" s="7" customFormat="1" ht="13.5">
      <c r="B696" s="30"/>
      <c r="C696" s="30"/>
      <c r="D696" s="31"/>
      <c r="E696" s="35"/>
      <c r="F696" s="129"/>
    </row>
    <row r="697" spans="2:6" s="7" customFormat="1" ht="13.5">
      <c r="B697" s="30"/>
      <c r="C697" s="30"/>
      <c r="D697" s="31"/>
      <c r="E697" s="35"/>
      <c r="F697" s="129"/>
    </row>
    <row r="698" spans="2:6" s="7" customFormat="1" ht="13.5">
      <c r="B698" s="30"/>
      <c r="C698" s="30"/>
      <c r="D698" s="31"/>
      <c r="E698" s="35"/>
      <c r="F698" s="129"/>
    </row>
    <row r="699" spans="2:6" s="7" customFormat="1" ht="13.5">
      <c r="B699" s="30"/>
      <c r="C699" s="30"/>
      <c r="D699" s="31"/>
      <c r="E699" s="35"/>
      <c r="F699" s="129"/>
    </row>
    <row r="700" spans="2:6" s="7" customFormat="1" ht="13.5">
      <c r="B700" s="30"/>
      <c r="C700" s="30"/>
      <c r="D700" s="31"/>
      <c r="E700" s="35"/>
      <c r="F700" s="129"/>
    </row>
    <row r="701" spans="2:6" s="7" customFormat="1" ht="13.5">
      <c r="B701" s="30"/>
      <c r="C701" s="30"/>
      <c r="D701" s="31"/>
      <c r="E701" s="35"/>
      <c r="F701" s="129"/>
    </row>
    <row r="702" spans="2:6" s="7" customFormat="1" ht="13.5">
      <c r="B702" s="30"/>
      <c r="C702" s="30"/>
      <c r="D702" s="31"/>
      <c r="E702" s="35"/>
      <c r="F702" s="129"/>
    </row>
    <row r="703" spans="2:6" s="7" customFormat="1" ht="13.5">
      <c r="B703" s="30"/>
      <c r="C703" s="30"/>
      <c r="D703" s="31"/>
      <c r="E703" s="35"/>
      <c r="F703" s="129"/>
    </row>
    <row r="704" spans="2:6" s="7" customFormat="1" ht="13.5">
      <c r="B704" s="30"/>
      <c r="C704" s="30"/>
      <c r="D704" s="31"/>
      <c r="E704" s="35"/>
      <c r="F704" s="129"/>
    </row>
    <row r="705" spans="2:6" s="7" customFormat="1" ht="13.5">
      <c r="B705" s="30"/>
      <c r="C705" s="30"/>
      <c r="D705" s="31"/>
      <c r="E705" s="35"/>
      <c r="F705" s="129"/>
    </row>
    <row r="706" spans="2:6" s="7" customFormat="1" ht="13.5">
      <c r="B706" s="30"/>
      <c r="C706" s="30"/>
      <c r="D706" s="31"/>
      <c r="E706" s="35"/>
      <c r="F706" s="129"/>
    </row>
    <row r="707" spans="2:6" s="7" customFormat="1" ht="13.5">
      <c r="B707" s="30"/>
      <c r="C707" s="30"/>
      <c r="D707" s="31"/>
      <c r="E707" s="35"/>
      <c r="F707" s="129"/>
    </row>
    <row r="708" spans="2:6" s="7" customFormat="1" ht="13.5">
      <c r="B708" s="30"/>
      <c r="C708" s="30"/>
      <c r="D708" s="31"/>
      <c r="E708" s="35"/>
      <c r="F708" s="129"/>
    </row>
    <row r="709" spans="2:6" s="7" customFormat="1" ht="13.5">
      <c r="B709" s="30"/>
      <c r="C709" s="30"/>
      <c r="D709" s="31"/>
      <c r="E709" s="35"/>
      <c r="F709" s="129"/>
    </row>
    <row r="710" spans="2:6" s="7" customFormat="1" ht="13.5">
      <c r="B710" s="30"/>
      <c r="C710" s="30"/>
      <c r="D710" s="31"/>
      <c r="E710" s="35"/>
      <c r="F710" s="129"/>
    </row>
    <row r="711" spans="2:6" s="7" customFormat="1" ht="13.5">
      <c r="B711" s="30"/>
      <c r="C711" s="30"/>
      <c r="D711" s="31"/>
      <c r="E711" s="35"/>
      <c r="F711" s="129"/>
    </row>
    <row r="712" spans="2:6" s="7" customFormat="1" ht="13.5">
      <c r="B712" s="30"/>
      <c r="C712" s="30"/>
      <c r="D712" s="31"/>
      <c r="E712" s="35"/>
      <c r="F712" s="129"/>
    </row>
    <row r="713" spans="2:6" s="7" customFormat="1" ht="13.5">
      <c r="B713" s="30"/>
      <c r="C713" s="30"/>
      <c r="D713" s="31"/>
      <c r="E713" s="35"/>
      <c r="F713" s="129"/>
    </row>
    <row r="714" spans="2:6" s="7" customFormat="1" ht="13.5">
      <c r="B714" s="30"/>
      <c r="C714" s="30"/>
      <c r="D714" s="31"/>
      <c r="E714" s="35"/>
      <c r="F714" s="129"/>
    </row>
    <row r="715" spans="2:6" s="7" customFormat="1" ht="13.5">
      <c r="B715" s="30"/>
      <c r="C715" s="30"/>
      <c r="D715" s="31"/>
      <c r="E715" s="35"/>
      <c r="F715" s="129"/>
    </row>
    <row r="716" spans="2:6" s="7" customFormat="1" ht="13.5">
      <c r="B716" s="30"/>
      <c r="C716" s="30"/>
      <c r="D716" s="31"/>
      <c r="E716" s="35"/>
      <c r="F716" s="129"/>
    </row>
    <row r="717" spans="2:6" s="7" customFormat="1" ht="13.5">
      <c r="B717" s="30"/>
      <c r="C717" s="30"/>
      <c r="D717" s="31"/>
      <c r="E717" s="35"/>
      <c r="F717" s="129"/>
    </row>
    <row r="718" spans="2:6" s="7" customFormat="1" ht="13.5">
      <c r="B718" s="30"/>
      <c r="C718" s="30"/>
      <c r="D718" s="31"/>
      <c r="E718" s="35"/>
      <c r="F718" s="129"/>
    </row>
    <row r="719" spans="2:6" s="7" customFormat="1" ht="13.5">
      <c r="B719" s="30"/>
      <c r="C719" s="30"/>
      <c r="D719" s="31"/>
      <c r="E719" s="35"/>
      <c r="F719" s="129"/>
    </row>
    <row r="720" spans="2:6" s="7" customFormat="1" ht="13.5">
      <c r="B720" s="30"/>
      <c r="C720" s="30"/>
      <c r="D720" s="31"/>
      <c r="E720" s="35"/>
      <c r="F720" s="129"/>
    </row>
    <row r="721" spans="2:6" s="7" customFormat="1" ht="13.5">
      <c r="B721" s="30"/>
      <c r="C721" s="30"/>
      <c r="D721" s="31"/>
      <c r="E721" s="35"/>
      <c r="F721" s="129"/>
    </row>
    <row r="722" spans="2:6" s="7" customFormat="1" ht="13.5">
      <c r="B722" s="30"/>
      <c r="C722" s="30"/>
      <c r="D722" s="31"/>
      <c r="E722" s="35"/>
      <c r="F722" s="129"/>
    </row>
    <row r="723" spans="2:6" s="7" customFormat="1" ht="13.5">
      <c r="B723" s="30"/>
      <c r="C723" s="30"/>
      <c r="D723" s="31"/>
      <c r="E723" s="35"/>
      <c r="F723" s="129"/>
    </row>
    <row r="724" spans="2:6" s="7" customFormat="1" ht="13.5">
      <c r="B724" s="30"/>
      <c r="C724" s="30"/>
      <c r="D724" s="31"/>
      <c r="E724" s="35"/>
      <c r="F724" s="129"/>
    </row>
    <row r="725" spans="2:6" s="7" customFormat="1" ht="13.5">
      <c r="B725" s="30"/>
      <c r="C725" s="30"/>
      <c r="D725" s="31"/>
      <c r="E725" s="35"/>
      <c r="F725" s="129"/>
    </row>
    <row r="726" spans="2:6" s="7" customFormat="1" ht="13.5">
      <c r="B726" s="30"/>
      <c r="C726" s="30"/>
      <c r="D726" s="31"/>
      <c r="E726" s="35"/>
      <c r="F726" s="129"/>
    </row>
    <row r="727" spans="2:6" s="7" customFormat="1" ht="13.5">
      <c r="B727" s="30"/>
      <c r="C727" s="30"/>
      <c r="D727" s="31"/>
      <c r="E727" s="35"/>
      <c r="F727" s="129"/>
    </row>
    <row r="728" spans="2:6" s="7" customFormat="1" ht="13.5">
      <c r="B728" s="30"/>
      <c r="C728" s="30"/>
      <c r="D728" s="31"/>
      <c r="E728" s="35"/>
      <c r="F728" s="129"/>
    </row>
    <row r="729" spans="2:6" s="7" customFormat="1" ht="13.5">
      <c r="B729" s="30"/>
      <c r="C729" s="30"/>
      <c r="D729" s="31"/>
      <c r="E729" s="35"/>
      <c r="F729" s="129"/>
    </row>
    <row r="730" spans="2:6" s="7" customFormat="1" ht="13.5">
      <c r="B730" s="30"/>
      <c r="C730" s="30"/>
      <c r="D730" s="31"/>
      <c r="E730" s="35"/>
      <c r="F730" s="129"/>
    </row>
    <row r="731" spans="2:6" s="7" customFormat="1" ht="13.5">
      <c r="B731" s="30"/>
      <c r="C731" s="30"/>
      <c r="D731" s="31"/>
      <c r="E731" s="35"/>
      <c r="F731" s="129"/>
    </row>
    <row r="732" spans="2:6" s="7" customFormat="1" ht="13.5">
      <c r="B732" s="30"/>
      <c r="C732" s="30"/>
      <c r="D732" s="31"/>
      <c r="E732" s="35"/>
      <c r="F732" s="129"/>
    </row>
    <row r="733" spans="2:6" s="7" customFormat="1" ht="13.5">
      <c r="B733" s="30"/>
      <c r="C733" s="30"/>
      <c r="D733" s="31"/>
      <c r="E733" s="35"/>
      <c r="F733" s="129"/>
    </row>
    <row r="734" spans="2:6" s="7" customFormat="1" ht="13.5">
      <c r="B734" s="30"/>
      <c r="C734" s="30"/>
      <c r="D734" s="31"/>
      <c r="E734" s="35"/>
      <c r="F734" s="129"/>
    </row>
    <row r="735" spans="2:6" s="7" customFormat="1" ht="13.5">
      <c r="B735" s="30"/>
      <c r="C735" s="30"/>
      <c r="D735" s="31"/>
      <c r="E735" s="35"/>
      <c r="F735" s="129"/>
    </row>
    <row r="736" spans="2:6" s="7" customFormat="1" ht="13.5">
      <c r="B736" s="30"/>
      <c r="C736" s="30"/>
      <c r="D736" s="31"/>
      <c r="E736" s="35"/>
      <c r="F736" s="129"/>
    </row>
    <row r="737" spans="2:6" s="7" customFormat="1" ht="13.5">
      <c r="B737" s="30"/>
      <c r="C737" s="30"/>
      <c r="D737" s="31"/>
      <c r="E737" s="35"/>
      <c r="F737" s="129"/>
    </row>
    <row r="738" spans="2:6" s="7" customFormat="1" ht="13.5">
      <c r="B738" s="30"/>
      <c r="C738" s="30"/>
      <c r="D738" s="31"/>
      <c r="E738" s="35"/>
      <c r="F738" s="129"/>
    </row>
    <row r="739" spans="2:6" s="7" customFormat="1" ht="13.5">
      <c r="B739" s="30"/>
      <c r="C739" s="30"/>
      <c r="D739" s="31"/>
      <c r="E739" s="35"/>
      <c r="F739" s="129"/>
    </row>
    <row r="740" spans="2:6" s="7" customFormat="1" ht="13.5">
      <c r="B740" s="30"/>
      <c r="C740" s="30"/>
      <c r="D740" s="31"/>
      <c r="E740" s="35"/>
      <c r="F740" s="129"/>
    </row>
    <row r="741" spans="2:6" s="7" customFormat="1" ht="13.5">
      <c r="B741" s="30"/>
      <c r="C741" s="30"/>
      <c r="D741" s="31"/>
      <c r="E741" s="35"/>
      <c r="F741" s="129"/>
    </row>
    <row r="742" spans="2:6" s="7" customFormat="1" ht="13.5">
      <c r="B742" s="30"/>
      <c r="C742" s="30"/>
      <c r="D742" s="31"/>
      <c r="E742" s="35"/>
      <c r="F742" s="129"/>
    </row>
    <row r="743" spans="2:6" s="7" customFormat="1" ht="13.5">
      <c r="B743" s="30"/>
      <c r="C743" s="30"/>
      <c r="D743" s="31"/>
      <c r="E743" s="35"/>
      <c r="F743" s="129"/>
    </row>
    <row r="744" spans="2:6" s="7" customFormat="1" ht="13.5">
      <c r="B744" s="30"/>
      <c r="C744" s="30"/>
      <c r="D744" s="31"/>
      <c r="E744" s="35"/>
      <c r="F744" s="129"/>
    </row>
    <row r="745" spans="2:6" s="7" customFormat="1" ht="13.5">
      <c r="B745" s="30"/>
      <c r="C745" s="30"/>
      <c r="D745" s="31"/>
      <c r="E745" s="35"/>
      <c r="F745" s="129"/>
    </row>
    <row r="746" spans="2:6" s="7" customFormat="1" ht="13.5">
      <c r="B746" s="30"/>
      <c r="C746" s="30"/>
      <c r="D746" s="31"/>
      <c r="E746" s="35"/>
      <c r="F746" s="129"/>
    </row>
    <row r="747" spans="2:6" s="7" customFormat="1" ht="13.5">
      <c r="B747" s="30"/>
      <c r="C747" s="30"/>
      <c r="D747" s="31"/>
      <c r="E747" s="35"/>
      <c r="F747" s="129"/>
    </row>
    <row r="748" spans="2:6" s="7" customFormat="1" ht="13.5">
      <c r="B748" s="30"/>
      <c r="C748" s="30"/>
      <c r="D748" s="31"/>
      <c r="E748" s="35"/>
      <c r="F748" s="129"/>
    </row>
    <row r="749" spans="2:6" s="7" customFormat="1" ht="13.5">
      <c r="B749" s="30"/>
      <c r="C749" s="30"/>
      <c r="D749" s="31"/>
      <c r="E749" s="35"/>
      <c r="F749" s="129"/>
    </row>
    <row r="750" spans="2:6" s="7" customFormat="1" ht="13.5">
      <c r="B750" s="30"/>
      <c r="C750" s="30"/>
      <c r="D750" s="31"/>
      <c r="E750" s="35"/>
      <c r="F750" s="129"/>
    </row>
    <row r="751" spans="2:6" s="7" customFormat="1" ht="13.5">
      <c r="B751" s="30"/>
      <c r="C751" s="30"/>
      <c r="D751" s="31"/>
      <c r="E751" s="35"/>
      <c r="F751" s="129"/>
    </row>
    <row r="752" spans="2:6" s="7" customFormat="1" ht="13.5">
      <c r="B752" s="30"/>
      <c r="C752" s="30"/>
      <c r="D752" s="31"/>
      <c r="E752" s="35"/>
      <c r="F752" s="129"/>
    </row>
    <row r="753" spans="2:6" s="7" customFormat="1" ht="13.5">
      <c r="B753" s="30"/>
      <c r="C753" s="30"/>
      <c r="D753" s="31"/>
      <c r="E753" s="35"/>
      <c r="F753" s="129"/>
    </row>
    <row r="754" spans="2:6" s="7" customFormat="1" ht="13.5">
      <c r="B754" s="30"/>
      <c r="C754" s="30"/>
      <c r="D754" s="31"/>
      <c r="E754" s="35"/>
      <c r="F754" s="129"/>
    </row>
    <row r="755" spans="2:6" s="7" customFormat="1" ht="13.5">
      <c r="B755" s="30"/>
      <c r="C755" s="30"/>
      <c r="D755" s="31"/>
      <c r="E755" s="35"/>
      <c r="F755" s="129"/>
    </row>
    <row r="756" spans="2:6" s="7" customFormat="1" ht="13.5">
      <c r="B756" s="30"/>
      <c r="C756" s="30"/>
      <c r="D756" s="31"/>
      <c r="E756" s="35"/>
      <c r="F756" s="129"/>
    </row>
    <row r="757" spans="2:6" s="7" customFormat="1" ht="13.5">
      <c r="B757" s="30"/>
      <c r="C757" s="30"/>
      <c r="D757" s="31"/>
      <c r="E757" s="35"/>
      <c r="F757" s="129"/>
    </row>
    <row r="758" spans="2:6" s="7" customFormat="1" ht="13.5">
      <c r="B758" s="30"/>
      <c r="C758" s="30"/>
      <c r="D758" s="31"/>
      <c r="E758" s="35"/>
      <c r="F758" s="129"/>
    </row>
    <row r="759" spans="2:6" s="7" customFormat="1" ht="13.5">
      <c r="B759" s="30"/>
      <c r="C759" s="30"/>
      <c r="D759" s="31"/>
      <c r="E759" s="35"/>
      <c r="F759" s="129"/>
    </row>
    <row r="760" spans="2:6" s="7" customFormat="1" ht="13.5">
      <c r="B760" s="30"/>
      <c r="C760" s="30"/>
      <c r="D760" s="31"/>
      <c r="E760" s="35"/>
      <c r="F760" s="129"/>
    </row>
    <row r="761" spans="2:6" s="7" customFormat="1" ht="13.5">
      <c r="B761" s="30"/>
      <c r="C761" s="30"/>
      <c r="D761" s="31"/>
      <c r="E761" s="35"/>
      <c r="F761" s="129"/>
    </row>
    <row r="762" spans="2:6" s="7" customFormat="1" ht="13.5">
      <c r="B762" s="30"/>
      <c r="C762" s="30"/>
      <c r="D762" s="31"/>
      <c r="E762" s="35"/>
      <c r="F762" s="129"/>
    </row>
    <row r="763" spans="2:6" s="7" customFormat="1" ht="13.5">
      <c r="B763" s="30"/>
      <c r="C763" s="30"/>
      <c r="D763" s="31"/>
      <c r="E763" s="35"/>
      <c r="F763" s="129"/>
    </row>
    <row r="764" spans="2:6" s="7" customFormat="1" ht="13.5">
      <c r="B764" s="30"/>
      <c r="C764" s="30"/>
      <c r="D764" s="31"/>
      <c r="E764" s="35"/>
      <c r="F764" s="129"/>
    </row>
    <row r="765" spans="2:6" s="7" customFormat="1" ht="13.5">
      <c r="B765" s="30"/>
      <c r="C765" s="30"/>
      <c r="D765" s="31"/>
      <c r="E765" s="35"/>
      <c r="F765" s="129"/>
    </row>
    <row r="766" spans="2:6" s="7" customFormat="1" ht="13.5">
      <c r="B766" s="30"/>
      <c r="C766" s="30"/>
      <c r="D766" s="31"/>
      <c r="E766" s="35"/>
      <c r="F766" s="129"/>
    </row>
    <row r="767" spans="2:6" s="7" customFormat="1" ht="13.5">
      <c r="B767" s="30"/>
      <c r="C767" s="30"/>
      <c r="D767" s="31"/>
      <c r="E767" s="35"/>
      <c r="F767" s="129"/>
    </row>
    <row r="768" spans="2:6" s="7" customFormat="1" ht="13.5">
      <c r="B768" s="30"/>
      <c r="C768" s="30"/>
      <c r="D768" s="31"/>
      <c r="E768" s="35"/>
      <c r="F768" s="129"/>
    </row>
    <row r="769" spans="2:6" s="7" customFormat="1" ht="13.5">
      <c r="B769" s="30"/>
      <c r="C769" s="30"/>
      <c r="D769" s="31"/>
      <c r="E769" s="35"/>
      <c r="F769" s="129"/>
    </row>
    <row r="770" spans="2:6" s="7" customFormat="1" ht="13.5">
      <c r="B770" s="30"/>
      <c r="C770" s="30"/>
      <c r="D770" s="31"/>
      <c r="E770" s="35"/>
      <c r="F770" s="129"/>
    </row>
    <row r="771" spans="2:6" s="7" customFormat="1" ht="13.5">
      <c r="B771" s="30"/>
      <c r="C771" s="30"/>
      <c r="D771" s="31"/>
      <c r="E771" s="35"/>
      <c r="F771" s="129"/>
    </row>
    <row r="772" spans="2:6" s="7" customFormat="1" ht="13.5">
      <c r="B772" s="30"/>
      <c r="C772" s="30"/>
      <c r="D772" s="31"/>
      <c r="E772" s="35"/>
      <c r="F772" s="129"/>
    </row>
    <row r="773" spans="2:6" s="7" customFormat="1" ht="13.5">
      <c r="B773" s="30"/>
      <c r="C773" s="30"/>
      <c r="D773" s="31"/>
      <c r="E773" s="35"/>
      <c r="F773" s="129"/>
    </row>
    <row r="774" spans="2:6" s="7" customFormat="1" ht="13.5">
      <c r="B774" s="30"/>
      <c r="C774" s="30"/>
      <c r="D774" s="31"/>
      <c r="E774" s="35"/>
      <c r="F774" s="129"/>
    </row>
    <row r="775" spans="2:6" s="7" customFormat="1" ht="13.5">
      <c r="B775" s="30"/>
      <c r="C775" s="30"/>
      <c r="D775" s="31"/>
      <c r="E775" s="35"/>
      <c r="F775" s="129"/>
    </row>
    <row r="776" spans="2:6" s="7" customFormat="1" ht="13.5">
      <c r="B776" s="30"/>
      <c r="C776" s="30"/>
      <c r="D776" s="31"/>
      <c r="E776" s="35"/>
      <c r="F776" s="129"/>
    </row>
    <row r="777" spans="2:6" s="7" customFormat="1" ht="13.5">
      <c r="B777" s="30"/>
      <c r="C777" s="30"/>
      <c r="D777" s="31"/>
      <c r="E777" s="35"/>
      <c r="F777" s="129"/>
    </row>
    <row r="778" spans="2:6" s="7" customFormat="1" ht="13.5">
      <c r="B778" s="30"/>
      <c r="C778" s="30"/>
      <c r="D778" s="31"/>
      <c r="E778" s="35"/>
      <c r="F778" s="129"/>
    </row>
    <row r="779" spans="2:6" s="7" customFormat="1" ht="13.5">
      <c r="B779" s="30"/>
      <c r="C779" s="30"/>
      <c r="D779" s="31"/>
      <c r="E779" s="35"/>
      <c r="F779" s="129"/>
    </row>
    <row r="780" spans="2:6" s="7" customFormat="1" ht="13.5">
      <c r="B780" s="30"/>
      <c r="C780" s="30"/>
      <c r="D780" s="31"/>
      <c r="E780" s="35"/>
      <c r="F780" s="129"/>
    </row>
    <row r="781" spans="2:6" s="7" customFormat="1" ht="13.5">
      <c r="B781" s="30"/>
      <c r="C781" s="30"/>
      <c r="D781" s="31"/>
      <c r="E781" s="35"/>
      <c r="F781" s="129"/>
    </row>
    <row r="782" spans="2:6" s="7" customFormat="1" ht="13.5">
      <c r="B782" s="30"/>
      <c r="C782" s="30"/>
      <c r="D782" s="31"/>
      <c r="E782" s="35"/>
      <c r="F782" s="129"/>
    </row>
    <row r="783" spans="2:6" s="7" customFormat="1" ht="13.5">
      <c r="B783" s="30"/>
      <c r="C783" s="30"/>
      <c r="D783" s="31"/>
      <c r="E783" s="35"/>
      <c r="F783" s="129"/>
    </row>
    <row r="784" spans="2:6" s="7" customFormat="1" ht="13.5">
      <c r="B784" s="30"/>
      <c r="C784" s="30"/>
      <c r="D784" s="31"/>
      <c r="E784" s="35"/>
      <c r="F784" s="129"/>
    </row>
    <row r="785" spans="2:6" s="7" customFormat="1" ht="13.5">
      <c r="B785" s="30"/>
      <c r="C785" s="30"/>
      <c r="D785" s="31"/>
      <c r="E785" s="35"/>
      <c r="F785" s="129"/>
    </row>
    <row r="786" spans="2:6" s="7" customFormat="1" ht="13.5">
      <c r="B786" s="30"/>
      <c r="C786" s="30"/>
      <c r="D786" s="31"/>
      <c r="E786" s="35"/>
      <c r="F786" s="129"/>
    </row>
    <row r="787" spans="2:6" s="7" customFormat="1" ht="13.5">
      <c r="B787" s="30"/>
      <c r="C787" s="30"/>
      <c r="D787" s="31"/>
      <c r="E787" s="35"/>
      <c r="F787" s="129"/>
    </row>
    <row r="788" spans="2:6" s="7" customFormat="1" ht="13.5">
      <c r="B788" s="30"/>
      <c r="C788" s="30"/>
      <c r="D788" s="31"/>
      <c r="E788" s="35"/>
      <c r="F788" s="129"/>
    </row>
    <row r="789" spans="2:6" s="7" customFormat="1" ht="13.5">
      <c r="B789" s="30"/>
      <c r="C789" s="30"/>
      <c r="D789" s="31"/>
      <c r="E789" s="35"/>
      <c r="F789" s="129"/>
    </row>
    <row r="790" spans="2:6" s="7" customFormat="1" ht="13.5">
      <c r="B790" s="30"/>
      <c r="C790" s="30"/>
      <c r="D790" s="31"/>
      <c r="E790" s="35"/>
      <c r="F790" s="129"/>
    </row>
    <row r="791" spans="2:6" s="7" customFormat="1" ht="13.5">
      <c r="B791" s="30"/>
      <c r="C791" s="30"/>
      <c r="D791" s="31"/>
      <c r="E791" s="35"/>
      <c r="F791" s="129"/>
    </row>
    <row r="792" spans="2:6" s="7" customFormat="1" ht="13.5">
      <c r="B792" s="30"/>
      <c r="C792" s="30"/>
      <c r="D792" s="31"/>
      <c r="E792" s="35"/>
      <c r="F792" s="129"/>
    </row>
    <row r="793" spans="2:6" s="7" customFormat="1" ht="13.5">
      <c r="B793" s="30"/>
      <c r="C793" s="30"/>
      <c r="D793" s="31"/>
      <c r="E793" s="35"/>
      <c r="F793" s="129"/>
    </row>
    <row r="794" spans="2:6" s="7" customFormat="1" ht="13.5">
      <c r="B794" s="30"/>
      <c r="C794" s="30"/>
      <c r="D794" s="31"/>
      <c r="E794" s="35"/>
      <c r="F794" s="129"/>
    </row>
    <row r="795" spans="2:6" s="7" customFormat="1" ht="13.5">
      <c r="B795" s="30"/>
      <c r="C795" s="30"/>
      <c r="D795" s="31"/>
      <c r="E795" s="35"/>
      <c r="F795" s="129"/>
    </row>
    <row r="796" spans="2:6" s="7" customFormat="1" ht="13.5">
      <c r="B796" s="30"/>
      <c r="C796" s="30"/>
      <c r="D796" s="31"/>
      <c r="E796" s="35"/>
      <c r="F796" s="129"/>
    </row>
    <row r="797" spans="2:6" s="7" customFormat="1" ht="13.5">
      <c r="B797" s="30"/>
      <c r="C797" s="30"/>
      <c r="D797" s="31"/>
      <c r="E797" s="35"/>
      <c r="F797" s="129"/>
    </row>
    <row r="798" spans="2:6" s="7" customFormat="1" ht="13.5">
      <c r="B798" s="30"/>
      <c r="C798" s="30"/>
      <c r="D798" s="31"/>
      <c r="E798" s="35"/>
      <c r="F798" s="129"/>
    </row>
    <row r="799" spans="2:6" s="7" customFormat="1" ht="13.5">
      <c r="B799" s="30"/>
      <c r="C799" s="30"/>
      <c r="D799" s="31"/>
      <c r="E799" s="35"/>
      <c r="F799" s="129"/>
    </row>
    <row r="800" spans="2:6" s="7" customFormat="1" ht="13.5">
      <c r="B800" s="30"/>
      <c r="C800" s="30"/>
      <c r="D800" s="31"/>
      <c r="E800" s="35"/>
      <c r="F800" s="129"/>
    </row>
    <row r="801" spans="2:6" s="7" customFormat="1" ht="13.5">
      <c r="B801" s="30"/>
      <c r="C801" s="30"/>
      <c r="D801" s="31"/>
      <c r="E801" s="35"/>
      <c r="F801" s="129"/>
    </row>
    <row r="802" spans="2:6" s="7" customFormat="1" ht="13.5">
      <c r="B802" s="30"/>
      <c r="C802" s="30"/>
      <c r="D802" s="31"/>
      <c r="E802" s="35"/>
      <c r="F802" s="129"/>
    </row>
    <row r="803" spans="2:6" s="7" customFormat="1" ht="13.5">
      <c r="B803" s="30"/>
      <c r="C803" s="30"/>
      <c r="D803" s="31"/>
      <c r="E803" s="35"/>
      <c r="F803" s="129"/>
    </row>
    <row r="804" spans="2:6" s="7" customFormat="1" ht="13.5">
      <c r="B804" s="30"/>
      <c r="C804" s="30"/>
      <c r="D804" s="31"/>
      <c r="E804" s="35"/>
      <c r="F804" s="129"/>
    </row>
    <row r="805" spans="2:6" s="7" customFormat="1" ht="13.5">
      <c r="B805" s="30"/>
      <c r="C805" s="30"/>
      <c r="D805" s="31"/>
      <c r="E805" s="35"/>
      <c r="F805" s="129"/>
    </row>
    <row r="806" spans="2:6" s="7" customFormat="1" ht="13.5">
      <c r="B806" s="30"/>
      <c r="C806" s="30"/>
      <c r="D806" s="31"/>
      <c r="E806" s="35"/>
      <c r="F806" s="129"/>
    </row>
    <row r="807" spans="2:6" s="7" customFormat="1" ht="13.5">
      <c r="B807" s="30"/>
      <c r="C807" s="30"/>
      <c r="D807" s="31"/>
      <c r="E807" s="35"/>
      <c r="F807" s="129"/>
    </row>
    <row r="808" spans="2:6" s="7" customFormat="1" ht="13.5">
      <c r="B808" s="30"/>
      <c r="C808" s="30"/>
      <c r="D808" s="31"/>
      <c r="E808" s="35"/>
      <c r="F808" s="129"/>
    </row>
    <row r="809" spans="2:6" s="7" customFormat="1" ht="13.5">
      <c r="B809" s="30"/>
      <c r="C809" s="30"/>
      <c r="D809" s="31"/>
      <c r="E809" s="35"/>
      <c r="F809" s="129"/>
    </row>
    <row r="810" spans="2:6" s="7" customFormat="1" ht="13.5">
      <c r="B810" s="30"/>
      <c r="C810" s="30"/>
      <c r="D810" s="31"/>
      <c r="E810" s="35"/>
      <c r="F810" s="129"/>
    </row>
    <row r="811" spans="2:6" s="7" customFormat="1" ht="13.5">
      <c r="B811" s="30"/>
      <c r="C811" s="30"/>
      <c r="D811" s="31"/>
      <c r="E811" s="35"/>
      <c r="F811" s="129"/>
    </row>
    <row r="812" spans="2:6" s="7" customFormat="1" ht="13.5">
      <c r="B812" s="30"/>
      <c r="C812" s="30"/>
      <c r="D812" s="31"/>
      <c r="E812" s="35"/>
      <c r="F812" s="129"/>
    </row>
    <row r="813" spans="2:6" s="7" customFormat="1" ht="13.5">
      <c r="B813" s="30"/>
      <c r="C813" s="30"/>
      <c r="D813" s="31"/>
      <c r="E813" s="35"/>
      <c r="F813" s="129"/>
    </row>
    <row r="814" spans="2:6" s="7" customFormat="1" ht="13.5">
      <c r="B814" s="30"/>
      <c r="C814" s="30"/>
      <c r="D814" s="31"/>
      <c r="E814" s="35"/>
      <c r="F814" s="129"/>
    </row>
    <row r="815" spans="2:6" s="7" customFormat="1" ht="13.5">
      <c r="B815" s="30"/>
      <c r="C815" s="30"/>
      <c r="D815" s="31"/>
      <c r="E815" s="35"/>
      <c r="F815" s="129"/>
    </row>
    <row r="816" spans="2:6" s="7" customFormat="1" ht="13.5">
      <c r="B816" s="30"/>
      <c r="C816" s="30"/>
      <c r="D816" s="31"/>
      <c r="E816" s="35"/>
      <c r="F816" s="129"/>
    </row>
    <row r="817" spans="2:6" s="7" customFormat="1" ht="13.5">
      <c r="B817" s="30"/>
      <c r="C817" s="30"/>
      <c r="D817" s="31"/>
      <c r="E817" s="35"/>
      <c r="F817" s="129"/>
    </row>
    <row r="818" spans="2:6" s="7" customFormat="1" ht="13.5">
      <c r="B818" s="30"/>
      <c r="C818" s="30"/>
      <c r="D818" s="31"/>
      <c r="E818" s="35"/>
      <c r="F818" s="129"/>
    </row>
    <row r="819" spans="2:6" s="7" customFormat="1" ht="13.5">
      <c r="B819" s="30"/>
      <c r="C819" s="30"/>
      <c r="D819" s="31"/>
      <c r="E819" s="35"/>
      <c r="F819" s="129"/>
    </row>
    <row r="820" spans="2:6" s="7" customFormat="1" ht="13.5">
      <c r="B820" s="30"/>
      <c r="C820" s="30"/>
      <c r="D820" s="31"/>
      <c r="E820" s="35"/>
      <c r="F820" s="129"/>
    </row>
    <row r="821" spans="2:6" s="7" customFormat="1" ht="13.5">
      <c r="B821" s="30"/>
      <c r="C821" s="30"/>
      <c r="D821" s="31"/>
      <c r="E821" s="35"/>
      <c r="F821" s="129"/>
    </row>
    <row r="822" spans="2:6" s="7" customFormat="1" ht="13.5">
      <c r="B822" s="30"/>
      <c r="C822" s="30"/>
      <c r="D822" s="31"/>
      <c r="E822" s="35"/>
      <c r="F822" s="129"/>
    </row>
    <row r="823" spans="2:6" s="7" customFormat="1" ht="13.5">
      <c r="B823" s="30"/>
      <c r="C823" s="30"/>
      <c r="D823" s="31"/>
      <c r="E823" s="35"/>
      <c r="F823" s="129"/>
    </row>
    <row r="824" spans="2:6" s="7" customFormat="1" ht="13.5">
      <c r="B824" s="30"/>
      <c r="C824" s="30"/>
      <c r="D824" s="31"/>
      <c r="E824" s="35"/>
      <c r="F824" s="129"/>
    </row>
    <row r="825" spans="2:6" s="7" customFormat="1" ht="13.5">
      <c r="B825" s="30"/>
      <c r="C825" s="30"/>
      <c r="D825" s="31"/>
      <c r="E825" s="35"/>
      <c r="F825" s="129"/>
    </row>
    <row r="826" spans="2:6" s="7" customFormat="1" ht="13.5">
      <c r="B826" s="30"/>
      <c r="C826" s="30"/>
      <c r="D826" s="31"/>
      <c r="E826" s="35"/>
      <c r="F826" s="129"/>
    </row>
    <row r="827" spans="2:6" s="7" customFormat="1" ht="13.5">
      <c r="B827" s="30"/>
      <c r="C827" s="30"/>
      <c r="D827" s="31"/>
      <c r="E827" s="35"/>
      <c r="F827" s="129"/>
    </row>
    <row r="828" spans="2:6" s="7" customFormat="1" ht="13.5">
      <c r="B828" s="30"/>
      <c r="C828" s="30"/>
      <c r="D828" s="31"/>
      <c r="E828" s="35"/>
      <c r="F828" s="129"/>
    </row>
    <row r="829" spans="2:6" s="7" customFormat="1" ht="13.5">
      <c r="B829" s="30"/>
      <c r="C829" s="30"/>
      <c r="D829" s="31"/>
      <c r="E829" s="35"/>
      <c r="F829" s="129"/>
    </row>
    <row r="830" spans="2:6" s="7" customFormat="1" ht="13.5">
      <c r="B830" s="30"/>
      <c r="C830" s="30"/>
      <c r="D830" s="31"/>
      <c r="E830" s="35"/>
      <c r="F830" s="129"/>
    </row>
    <row r="831" spans="2:6" s="7" customFormat="1" ht="13.5">
      <c r="B831" s="30"/>
      <c r="C831" s="30"/>
      <c r="D831" s="31"/>
      <c r="E831" s="35"/>
      <c r="F831" s="129"/>
    </row>
    <row r="832" spans="2:6" s="7" customFormat="1" ht="13.5">
      <c r="B832" s="30"/>
      <c r="C832" s="30"/>
      <c r="D832" s="31"/>
      <c r="E832" s="35"/>
      <c r="F832" s="129"/>
    </row>
    <row r="833" spans="2:6" s="7" customFormat="1" ht="13.5">
      <c r="B833" s="30"/>
      <c r="C833" s="30"/>
      <c r="D833" s="31"/>
      <c r="E833" s="35"/>
      <c r="F833" s="129"/>
    </row>
    <row r="834" spans="2:6" s="7" customFormat="1" ht="13.5">
      <c r="B834" s="30"/>
      <c r="C834" s="30"/>
      <c r="D834" s="31"/>
      <c r="E834" s="35"/>
      <c r="F834" s="129"/>
    </row>
    <row r="835" spans="2:6" s="7" customFormat="1" ht="13.5">
      <c r="B835" s="30"/>
      <c r="C835" s="30"/>
      <c r="D835" s="31"/>
      <c r="E835" s="35"/>
      <c r="F835" s="129"/>
    </row>
    <row r="836" spans="2:6" s="7" customFormat="1" ht="13.5">
      <c r="B836" s="30"/>
      <c r="C836" s="30"/>
      <c r="D836" s="31"/>
      <c r="E836" s="35"/>
      <c r="F836" s="129"/>
    </row>
    <row r="837" spans="2:6" s="7" customFormat="1" ht="13.5">
      <c r="B837" s="30"/>
      <c r="C837" s="30"/>
      <c r="D837" s="31"/>
      <c r="E837" s="35"/>
      <c r="F837" s="129"/>
    </row>
    <row r="838" spans="2:6" s="7" customFormat="1" ht="13.5">
      <c r="B838" s="30"/>
      <c r="C838" s="30"/>
      <c r="D838" s="31"/>
      <c r="E838" s="35"/>
      <c r="F838" s="129"/>
    </row>
    <row r="839" spans="2:6" s="7" customFormat="1" ht="13.5">
      <c r="B839" s="30"/>
      <c r="C839" s="30"/>
      <c r="D839" s="31"/>
      <c r="E839" s="35"/>
      <c r="F839" s="129"/>
    </row>
    <row r="840" spans="2:6" s="7" customFormat="1" ht="13.5">
      <c r="B840" s="30"/>
      <c r="C840" s="30"/>
      <c r="D840" s="31"/>
      <c r="E840" s="35"/>
      <c r="F840" s="129"/>
    </row>
    <row r="841" spans="2:6" s="7" customFormat="1" ht="13.5">
      <c r="B841" s="30"/>
      <c r="C841" s="30"/>
      <c r="D841" s="31"/>
      <c r="E841" s="35"/>
      <c r="F841" s="129"/>
    </row>
    <row r="842" spans="2:6" s="7" customFormat="1" ht="13.5">
      <c r="B842" s="30"/>
      <c r="C842" s="30"/>
      <c r="D842" s="31"/>
      <c r="E842" s="35"/>
      <c r="F842" s="129"/>
    </row>
    <row r="843" spans="2:6" s="7" customFormat="1" ht="13.5">
      <c r="B843" s="30"/>
      <c r="C843" s="30"/>
      <c r="D843" s="31"/>
      <c r="E843" s="35"/>
      <c r="F843" s="129"/>
    </row>
    <row r="844" spans="2:6" s="7" customFormat="1" ht="13.5">
      <c r="B844" s="30"/>
      <c r="C844" s="30"/>
      <c r="D844" s="31"/>
      <c r="E844" s="35"/>
      <c r="F844" s="129"/>
    </row>
    <row r="845" spans="2:6" s="7" customFormat="1" ht="13.5">
      <c r="B845" s="30"/>
      <c r="C845" s="30"/>
      <c r="D845" s="31"/>
      <c r="E845" s="35"/>
      <c r="F845" s="129"/>
    </row>
    <row r="846" spans="2:6" s="7" customFormat="1" ht="13.5">
      <c r="B846" s="30"/>
      <c r="C846" s="30"/>
      <c r="D846" s="31"/>
      <c r="E846" s="35"/>
      <c r="F846" s="129"/>
    </row>
    <row r="847" spans="2:6" s="7" customFormat="1" ht="13.5">
      <c r="B847" s="30"/>
      <c r="C847" s="30"/>
      <c r="D847" s="31"/>
      <c r="E847" s="35"/>
      <c r="F847" s="129"/>
    </row>
    <row r="848" spans="2:6" s="7" customFormat="1" ht="13.5">
      <c r="B848" s="30"/>
      <c r="C848" s="30"/>
      <c r="D848" s="31"/>
      <c r="E848" s="35"/>
      <c r="F848" s="129"/>
    </row>
    <row r="849" spans="2:6" s="7" customFormat="1" ht="13.5">
      <c r="B849" s="30"/>
      <c r="C849" s="30"/>
      <c r="D849" s="31"/>
      <c r="E849" s="35"/>
      <c r="F849" s="129"/>
    </row>
    <row r="850" spans="2:6" s="7" customFormat="1" ht="13.5">
      <c r="B850" s="30"/>
      <c r="C850" s="30"/>
      <c r="D850" s="31"/>
      <c r="E850" s="35"/>
      <c r="F850" s="129"/>
    </row>
    <row r="851" spans="2:6" s="7" customFormat="1" ht="13.5">
      <c r="B851" s="30"/>
      <c r="C851" s="30"/>
      <c r="D851" s="31"/>
      <c r="E851" s="35"/>
      <c r="F851" s="129"/>
    </row>
    <row r="852" spans="2:6" s="7" customFormat="1" ht="13.5">
      <c r="B852" s="30"/>
      <c r="C852" s="30"/>
      <c r="D852" s="31"/>
      <c r="E852" s="35"/>
      <c r="F852" s="129"/>
    </row>
    <row r="853" spans="2:6" s="7" customFormat="1" ht="13.5">
      <c r="B853" s="30"/>
      <c r="C853" s="30"/>
      <c r="D853" s="31"/>
      <c r="E853" s="35"/>
      <c r="F853" s="129"/>
    </row>
    <row r="854" spans="2:6" s="7" customFormat="1" ht="13.5">
      <c r="B854" s="30"/>
      <c r="C854" s="30"/>
      <c r="D854" s="31"/>
      <c r="E854" s="35"/>
      <c r="F854" s="129"/>
    </row>
    <row r="855" spans="2:6" s="7" customFormat="1" ht="13.5">
      <c r="B855" s="30"/>
      <c r="C855" s="30"/>
      <c r="D855" s="31"/>
      <c r="E855" s="35"/>
      <c r="F855" s="129"/>
    </row>
    <row r="856" spans="2:6" s="7" customFormat="1" ht="13.5">
      <c r="B856" s="30"/>
      <c r="C856" s="30"/>
      <c r="D856" s="31"/>
      <c r="E856" s="35"/>
      <c r="F856" s="129"/>
    </row>
    <row r="857" spans="2:6" s="7" customFormat="1" ht="13.5">
      <c r="B857" s="30"/>
      <c r="C857" s="30"/>
      <c r="D857" s="31"/>
      <c r="E857" s="35"/>
      <c r="F857" s="129"/>
    </row>
    <row r="858" spans="2:6" s="7" customFormat="1" ht="13.5">
      <c r="B858" s="30"/>
      <c r="C858" s="30"/>
      <c r="D858" s="31"/>
      <c r="E858" s="35"/>
      <c r="F858" s="129"/>
    </row>
    <row r="859" spans="2:6" s="7" customFormat="1" ht="13.5">
      <c r="B859" s="30"/>
      <c r="C859" s="30"/>
      <c r="D859" s="31"/>
      <c r="E859" s="35"/>
      <c r="F859" s="129"/>
    </row>
    <row r="860" spans="2:6" s="7" customFormat="1" ht="13.5">
      <c r="B860" s="30"/>
      <c r="C860" s="30"/>
      <c r="D860" s="31"/>
      <c r="E860" s="35"/>
      <c r="F860" s="129"/>
    </row>
    <row r="861" spans="2:6" s="7" customFormat="1" ht="13.5">
      <c r="B861" s="30"/>
      <c r="C861" s="30"/>
      <c r="D861" s="31"/>
      <c r="E861" s="35"/>
      <c r="F861" s="129"/>
    </row>
    <row r="862" spans="2:6" s="7" customFormat="1" ht="13.5">
      <c r="B862" s="30"/>
      <c r="C862" s="30"/>
      <c r="D862" s="31"/>
      <c r="E862" s="35"/>
      <c r="F862" s="129"/>
    </row>
    <row r="863" spans="2:6" s="7" customFormat="1" ht="13.5">
      <c r="B863" s="30"/>
      <c r="C863" s="30"/>
      <c r="D863" s="31"/>
      <c r="E863" s="35"/>
      <c r="F863" s="129"/>
    </row>
    <row r="864" spans="2:6" s="7" customFormat="1" ht="13.5">
      <c r="B864" s="30"/>
      <c r="C864" s="30"/>
      <c r="D864" s="31"/>
      <c r="E864" s="35"/>
      <c r="F864" s="129"/>
    </row>
    <row r="865" spans="2:6" s="7" customFormat="1" ht="13.5">
      <c r="B865" s="30"/>
      <c r="C865" s="30"/>
      <c r="D865" s="31"/>
      <c r="E865" s="35"/>
      <c r="F865" s="129"/>
    </row>
    <row r="866" spans="2:6" s="7" customFormat="1" ht="13.5">
      <c r="B866" s="30"/>
      <c r="C866" s="30"/>
      <c r="D866" s="31"/>
      <c r="E866" s="35"/>
      <c r="F866" s="129"/>
    </row>
    <row r="867" spans="2:6" s="7" customFormat="1" ht="13.5">
      <c r="B867" s="30"/>
      <c r="C867" s="30"/>
      <c r="D867" s="31"/>
      <c r="E867" s="35"/>
      <c r="F867" s="129"/>
    </row>
    <row r="868" spans="2:6" s="7" customFormat="1" ht="13.5">
      <c r="B868" s="30"/>
      <c r="C868" s="30"/>
      <c r="D868" s="31"/>
      <c r="E868" s="35"/>
      <c r="F868" s="129"/>
    </row>
    <row r="869" spans="2:6" s="7" customFormat="1" ht="13.5">
      <c r="B869" s="30"/>
      <c r="C869" s="30"/>
      <c r="D869" s="31"/>
      <c r="E869" s="35"/>
      <c r="F869" s="129"/>
    </row>
    <row r="870" spans="2:6" s="7" customFormat="1" ht="13.5">
      <c r="B870" s="30"/>
      <c r="C870" s="30"/>
      <c r="D870" s="31"/>
      <c r="E870" s="35"/>
      <c r="F870" s="129"/>
    </row>
    <row r="871" spans="2:6" s="7" customFormat="1" ht="13.5">
      <c r="B871" s="30"/>
      <c r="C871" s="30"/>
      <c r="D871" s="31"/>
      <c r="E871" s="35"/>
      <c r="F871" s="129"/>
    </row>
    <row r="872" spans="2:6" s="7" customFormat="1" ht="13.5">
      <c r="B872" s="30"/>
      <c r="C872" s="30"/>
      <c r="D872" s="31"/>
      <c r="E872" s="35"/>
      <c r="F872" s="129"/>
    </row>
    <row r="873" spans="2:6" s="7" customFormat="1" ht="13.5">
      <c r="B873" s="30"/>
      <c r="C873" s="30"/>
      <c r="D873" s="31"/>
      <c r="E873" s="35"/>
      <c r="F873" s="129"/>
    </row>
    <row r="874" spans="2:6" s="7" customFormat="1" ht="13.5">
      <c r="B874" s="30"/>
      <c r="C874" s="30"/>
      <c r="D874" s="31"/>
      <c r="E874" s="35"/>
      <c r="F874" s="129"/>
    </row>
    <row r="875" spans="2:6" s="7" customFormat="1" ht="13.5">
      <c r="B875" s="30"/>
      <c r="C875" s="30"/>
      <c r="D875" s="31"/>
      <c r="E875" s="35"/>
      <c r="F875" s="129"/>
    </row>
    <row r="876" spans="2:6" s="7" customFormat="1" ht="13.5">
      <c r="B876" s="30"/>
      <c r="C876" s="30"/>
      <c r="D876" s="31"/>
      <c r="E876" s="35"/>
      <c r="F876" s="129"/>
    </row>
    <row r="877" spans="2:6" s="7" customFormat="1" ht="13.5">
      <c r="B877" s="30"/>
      <c r="C877" s="30"/>
      <c r="D877" s="31"/>
      <c r="E877" s="35"/>
      <c r="F877" s="129"/>
    </row>
    <row r="878" spans="2:6" s="7" customFormat="1" ht="13.5">
      <c r="B878" s="30"/>
      <c r="C878" s="30"/>
      <c r="D878" s="31"/>
      <c r="E878" s="35"/>
      <c r="F878" s="129"/>
    </row>
    <row r="879" spans="2:6" s="7" customFormat="1" ht="13.5">
      <c r="B879" s="30"/>
      <c r="C879" s="30"/>
      <c r="D879" s="31"/>
      <c r="E879" s="35"/>
      <c r="F879" s="129"/>
    </row>
    <row r="880" spans="2:6" s="7" customFormat="1" ht="13.5">
      <c r="B880" s="30"/>
      <c r="C880" s="30"/>
      <c r="D880" s="31"/>
      <c r="E880" s="35"/>
      <c r="F880" s="129"/>
    </row>
    <row r="881" spans="2:6" s="7" customFormat="1" ht="13.5">
      <c r="B881" s="30"/>
      <c r="C881" s="30"/>
      <c r="D881" s="31"/>
      <c r="E881" s="35"/>
      <c r="F881" s="129"/>
    </row>
    <row r="882" spans="2:6" s="7" customFormat="1" ht="13.5">
      <c r="B882" s="30"/>
      <c r="C882" s="30"/>
      <c r="D882" s="31"/>
      <c r="E882" s="35"/>
      <c r="F882" s="129"/>
    </row>
    <row r="883" spans="2:6" s="7" customFormat="1" ht="13.5">
      <c r="B883" s="30"/>
      <c r="C883" s="30"/>
      <c r="D883" s="31"/>
      <c r="E883" s="35"/>
      <c r="F883" s="129"/>
    </row>
    <row r="884" spans="2:6" s="7" customFormat="1" ht="13.5">
      <c r="B884" s="30"/>
      <c r="C884" s="30"/>
      <c r="D884" s="31"/>
      <c r="E884" s="35"/>
      <c r="F884" s="129"/>
    </row>
    <row r="885" spans="2:6" s="7" customFormat="1" ht="13.5">
      <c r="B885" s="30"/>
      <c r="C885" s="30"/>
      <c r="D885" s="31"/>
      <c r="E885" s="35"/>
      <c r="F885" s="129"/>
    </row>
    <row r="886" spans="2:6" s="7" customFormat="1" ht="13.5">
      <c r="B886" s="30"/>
      <c r="C886" s="30"/>
      <c r="D886" s="31"/>
      <c r="E886" s="35"/>
      <c r="F886" s="129"/>
    </row>
    <row r="887" spans="2:6" s="7" customFormat="1" ht="13.5">
      <c r="B887" s="30"/>
      <c r="C887" s="30"/>
      <c r="D887" s="31"/>
      <c r="E887" s="35"/>
      <c r="F887" s="129"/>
    </row>
    <row r="888" spans="2:6" s="7" customFormat="1" ht="13.5">
      <c r="B888" s="30"/>
      <c r="C888" s="30"/>
      <c r="D888" s="31"/>
      <c r="E888" s="35"/>
      <c r="F888" s="129"/>
    </row>
    <row r="889" spans="2:6" s="7" customFormat="1" ht="13.5">
      <c r="B889" s="30"/>
      <c r="C889" s="30"/>
      <c r="D889" s="31"/>
      <c r="E889" s="35"/>
      <c r="F889" s="129"/>
    </row>
    <row r="890" spans="2:6" s="7" customFormat="1" ht="13.5">
      <c r="B890" s="30"/>
      <c r="C890" s="30"/>
      <c r="D890" s="31"/>
      <c r="E890" s="35"/>
      <c r="F890" s="129"/>
    </row>
    <row r="891" spans="2:6" s="7" customFormat="1" ht="13.5">
      <c r="B891" s="30"/>
      <c r="C891" s="30"/>
      <c r="D891" s="31"/>
      <c r="E891" s="35"/>
      <c r="F891" s="129"/>
    </row>
    <row r="892" spans="2:6" s="7" customFormat="1" ht="13.5">
      <c r="B892" s="30"/>
      <c r="C892" s="30"/>
      <c r="D892" s="31"/>
      <c r="E892" s="35"/>
      <c r="F892" s="129"/>
    </row>
    <row r="893" spans="2:6" s="7" customFormat="1" ht="13.5">
      <c r="B893" s="30"/>
      <c r="C893" s="30"/>
      <c r="D893" s="31"/>
      <c r="E893" s="35"/>
      <c r="F893" s="129"/>
    </row>
    <row r="894" spans="2:6" s="7" customFormat="1" ht="13.5">
      <c r="B894" s="30"/>
      <c r="C894" s="30"/>
      <c r="D894" s="31"/>
      <c r="E894" s="35"/>
      <c r="F894" s="129"/>
    </row>
    <row r="895" spans="2:6" s="7" customFormat="1" ht="13.5">
      <c r="B895" s="30"/>
      <c r="C895" s="30"/>
      <c r="D895" s="31"/>
      <c r="E895" s="35"/>
      <c r="F895" s="129"/>
    </row>
    <row r="896" spans="2:6" s="7" customFormat="1" ht="13.5">
      <c r="B896" s="30"/>
      <c r="C896" s="30"/>
      <c r="D896" s="31"/>
      <c r="E896" s="35"/>
      <c r="F896" s="129"/>
    </row>
    <row r="897" spans="2:6" s="7" customFormat="1" ht="13.5">
      <c r="B897" s="30"/>
      <c r="C897" s="30"/>
      <c r="D897" s="31"/>
      <c r="E897" s="35"/>
      <c r="F897" s="129"/>
    </row>
    <row r="898" spans="2:6" s="7" customFormat="1" ht="13.5">
      <c r="B898" s="30"/>
      <c r="C898" s="30"/>
      <c r="D898" s="31"/>
      <c r="E898" s="35"/>
      <c r="F898" s="129"/>
    </row>
    <row r="899" spans="2:6" s="7" customFormat="1" ht="13.5">
      <c r="B899" s="30"/>
      <c r="C899" s="30"/>
      <c r="D899" s="31"/>
      <c r="E899" s="35"/>
      <c r="F899" s="129"/>
    </row>
    <row r="900" spans="2:6" s="7" customFormat="1" ht="13.5">
      <c r="B900" s="30"/>
      <c r="C900" s="30"/>
      <c r="D900" s="31"/>
      <c r="E900" s="35"/>
      <c r="F900" s="129"/>
    </row>
    <row r="901" spans="2:6" s="7" customFormat="1" ht="13.5">
      <c r="B901" s="30"/>
      <c r="C901" s="30"/>
      <c r="D901" s="31"/>
      <c r="E901" s="35"/>
      <c r="F901" s="129"/>
    </row>
    <row r="902" spans="2:6" s="7" customFormat="1" ht="13.5">
      <c r="B902" s="30"/>
      <c r="C902" s="30"/>
      <c r="D902" s="31"/>
      <c r="E902" s="35"/>
      <c r="F902" s="129"/>
    </row>
    <row r="903" spans="2:6" s="7" customFormat="1" ht="13.5">
      <c r="B903" s="30"/>
      <c r="C903" s="30"/>
      <c r="D903" s="31"/>
      <c r="E903" s="35"/>
      <c r="F903" s="129"/>
    </row>
    <row r="904" spans="2:6" s="7" customFormat="1" ht="13.5">
      <c r="B904" s="30"/>
      <c r="C904" s="30"/>
      <c r="D904" s="31"/>
      <c r="E904" s="35"/>
      <c r="F904" s="129"/>
    </row>
    <row r="905" spans="2:6" s="7" customFormat="1" ht="13.5">
      <c r="B905" s="30"/>
      <c r="C905" s="30"/>
      <c r="D905" s="31"/>
      <c r="E905" s="35"/>
      <c r="F905" s="129"/>
    </row>
    <row r="906" spans="2:6" s="7" customFormat="1" ht="13.5">
      <c r="B906" s="30"/>
      <c r="C906" s="30"/>
      <c r="D906" s="31"/>
      <c r="E906" s="35"/>
      <c r="F906" s="129"/>
    </row>
    <row r="907" spans="2:6" s="7" customFormat="1" ht="13.5">
      <c r="B907" s="30"/>
      <c r="C907" s="30"/>
      <c r="D907" s="31"/>
      <c r="E907" s="35"/>
      <c r="F907" s="129"/>
    </row>
    <row r="908" spans="2:6" s="7" customFormat="1" ht="13.5">
      <c r="B908" s="30"/>
      <c r="C908" s="30"/>
      <c r="D908" s="31"/>
      <c r="E908" s="35"/>
      <c r="F908" s="129"/>
    </row>
    <row r="909" spans="2:6" s="7" customFormat="1" ht="13.5">
      <c r="B909" s="30"/>
      <c r="C909" s="30"/>
      <c r="D909" s="31"/>
      <c r="E909" s="35"/>
      <c r="F909" s="129"/>
    </row>
    <row r="910" spans="2:6" s="7" customFormat="1" ht="13.5">
      <c r="B910" s="30"/>
      <c r="C910" s="30"/>
      <c r="D910" s="31"/>
      <c r="E910" s="35"/>
      <c r="F910" s="129"/>
    </row>
    <row r="911" spans="2:6" s="7" customFormat="1" ht="13.5">
      <c r="B911" s="30"/>
      <c r="C911" s="30"/>
      <c r="D911" s="31"/>
      <c r="E911" s="35"/>
      <c r="F911" s="129"/>
    </row>
    <row r="912" spans="2:6" s="7" customFormat="1" ht="13.5">
      <c r="B912" s="30"/>
      <c r="C912" s="30"/>
      <c r="D912" s="31"/>
      <c r="E912" s="35"/>
      <c r="F912" s="129"/>
    </row>
    <row r="913" spans="2:6" s="7" customFormat="1" ht="13.5">
      <c r="B913" s="30"/>
      <c r="C913" s="30"/>
      <c r="D913" s="31"/>
      <c r="E913" s="35"/>
      <c r="F913" s="129"/>
    </row>
    <row r="914" spans="2:6" s="7" customFormat="1" ht="13.5">
      <c r="B914" s="30"/>
      <c r="C914" s="30"/>
      <c r="D914" s="31"/>
      <c r="E914" s="35"/>
      <c r="F914" s="129"/>
    </row>
    <row r="915" spans="2:6" s="7" customFormat="1" ht="13.5">
      <c r="B915" s="30"/>
      <c r="C915" s="30"/>
      <c r="D915" s="31"/>
      <c r="E915" s="35"/>
      <c r="F915" s="129"/>
    </row>
    <row r="916" spans="2:6" s="7" customFormat="1" ht="13.5">
      <c r="B916" s="30"/>
      <c r="C916" s="30"/>
      <c r="D916" s="31"/>
      <c r="E916" s="35"/>
      <c r="F916" s="129"/>
    </row>
    <row r="917" spans="2:6" s="7" customFormat="1" ht="13.5">
      <c r="B917" s="30"/>
      <c r="C917" s="30"/>
      <c r="D917" s="31"/>
      <c r="E917" s="35"/>
      <c r="F917" s="129"/>
    </row>
    <row r="918" spans="2:6" s="7" customFormat="1" ht="13.5">
      <c r="B918" s="30"/>
      <c r="C918" s="30"/>
      <c r="D918" s="31"/>
      <c r="E918" s="35"/>
      <c r="F918" s="129"/>
    </row>
    <row r="919" spans="2:6" s="7" customFormat="1" ht="13.5">
      <c r="B919" s="30"/>
      <c r="C919" s="30"/>
      <c r="D919" s="31"/>
      <c r="E919" s="35"/>
      <c r="F919" s="129"/>
    </row>
    <row r="920" spans="2:6" s="7" customFormat="1" ht="13.5">
      <c r="B920" s="30"/>
      <c r="C920" s="30"/>
      <c r="D920" s="31"/>
      <c r="E920" s="35"/>
      <c r="F920" s="129"/>
    </row>
    <row r="921" spans="2:6" s="7" customFormat="1" ht="13.5">
      <c r="B921" s="30"/>
      <c r="C921" s="30"/>
      <c r="D921" s="31"/>
      <c r="E921" s="35"/>
      <c r="F921" s="129"/>
    </row>
    <row r="922" spans="2:6" s="7" customFormat="1" ht="13.5">
      <c r="B922" s="30"/>
      <c r="C922" s="30"/>
      <c r="D922" s="31"/>
      <c r="E922" s="35"/>
      <c r="F922" s="129"/>
    </row>
    <row r="923" spans="2:6" s="7" customFormat="1" ht="13.5">
      <c r="B923" s="30"/>
      <c r="C923" s="30"/>
      <c r="D923" s="31"/>
      <c r="E923" s="35"/>
      <c r="F923" s="129"/>
    </row>
    <row r="924" spans="2:6" s="7" customFormat="1" ht="13.5">
      <c r="B924" s="30"/>
      <c r="C924" s="30"/>
      <c r="D924" s="31"/>
      <c r="E924" s="35"/>
      <c r="F924" s="129"/>
    </row>
    <row r="925" spans="2:6" s="7" customFormat="1" ht="13.5">
      <c r="B925" s="30"/>
      <c r="C925" s="30"/>
      <c r="D925" s="31"/>
      <c r="E925" s="35"/>
      <c r="F925" s="129"/>
    </row>
    <row r="926" spans="2:6" s="7" customFormat="1" ht="13.5">
      <c r="B926" s="30"/>
      <c r="C926" s="30"/>
      <c r="D926" s="31"/>
      <c r="E926" s="35"/>
      <c r="F926" s="129"/>
    </row>
    <row r="927" spans="2:6" s="7" customFormat="1" ht="13.5">
      <c r="B927" s="30"/>
      <c r="C927" s="30"/>
      <c r="D927" s="31"/>
      <c r="E927" s="35"/>
      <c r="F927" s="129"/>
    </row>
    <row r="928" spans="2:6" s="7" customFormat="1" ht="13.5">
      <c r="B928" s="30"/>
      <c r="C928" s="30"/>
      <c r="D928" s="31"/>
      <c r="E928" s="35"/>
      <c r="F928" s="129"/>
    </row>
    <row r="929" spans="2:6" s="7" customFormat="1" ht="13.5">
      <c r="B929" s="30"/>
      <c r="C929" s="30"/>
      <c r="D929" s="31"/>
      <c r="E929" s="35"/>
      <c r="F929" s="129"/>
    </row>
    <row r="930" spans="2:6" s="7" customFormat="1" ht="13.5">
      <c r="B930" s="30"/>
      <c r="C930" s="30"/>
      <c r="D930" s="31"/>
      <c r="E930" s="35"/>
      <c r="F930" s="129"/>
    </row>
    <row r="931" spans="2:6" s="7" customFormat="1" ht="13.5">
      <c r="B931" s="30"/>
      <c r="C931" s="30"/>
      <c r="D931" s="31"/>
      <c r="E931" s="35"/>
      <c r="F931" s="129"/>
    </row>
    <row r="932" spans="2:6" s="7" customFormat="1" ht="13.5">
      <c r="B932" s="30"/>
      <c r="C932" s="30"/>
      <c r="D932" s="31"/>
      <c r="E932" s="35"/>
      <c r="F932" s="129"/>
    </row>
    <row r="933" spans="2:6" s="7" customFormat="1" ht="13.5">
      <c r="B933" s="30"/>
      <c r="C933" s="30"/>
      <c r="D933" s="31"/>
      <c r="E933" s="35"/>
      <c r="F933" s="129"/>
    </row>
    <row r="934" spans="2:6" s="7" customFormat="1" ht="13.5">
      <c r="B934" s="30"/>
      <c r="C934" s="30"/>
      <c r="D934" s="31"/>
      <c r="E934" s="35"/>
      <c r="F934" s="129"/>
    </row>
    <row r="935" spans="2:6" s="7" customFormat="1" ht="13.5">
      <c r="B935" s="30"/>
      <c r="C935" s="30"/>
      <c r="D935" s="31"/>
      <c r="E935" s="35"/>
      <c r="F935" s="129"/>
    </row>
    <row r="936" spans="2:6" s="7" customFormat="1" ht="13.5">
      <c r="B936" s="30"/>
      <c r="C936" s="30"/>
      <c r="D936" s="31"/>
      <c r="E936" s="35"/>
      <c r="F936" s="129"/>
    </row>
    <row r="937" spans="2:6" s="7" customFormat="1" ht="13.5">
      <c r="B937" s="30"/>
      <c r="C937" s="30"/>
      <c r="D937" s="31"/>
      <c r="E937" s="35"/>
      <c r="F937" s="129"/>
    </row>
    <row r="938" spans="2:6" s="7" customFormat="1" ht="13.5">
      <c r="B938" s="30"/>
      <c r="C938" s="30"/>
      <c r="D938" s="31"/>
      <c r="E938" s="35"/>
      <c r="F938" s="129"/>
    </row>
    <row r="939" spans="2:6" s="7" customFormat="1" ht="13.5">
      <c r="B939" s="30"/>
      <c r="C939" s="30"/>
      <c r="D939" s="31"/>
      <c r="E939" s="35"/>
      <c r="F939" s="129"/>
    </row>
    <row r="940" spans="2:6" s="7" customFormat="1" ht="13.5">
      <c r="B940" s="30"/>
      <c r="C940" s="30"/>
      <c r="D940" s="31"/>
      <c r="E940" s="35"/>
      <c r="F940" s="129"/>
    </row>
    <row r="941" spans="2:6" s="7" customFormat="1" ht="13.5">
      <c r="B941" s="30"/>
      <c r="C941" s="30"/>
      <c r="D941" s="31"/>
      <c r="E941" s="35"/>
      <c r="F941" s="129"/>
    </row>
    <row r="942" spans="2:6" s="7" customFormat="1" ht="13.5">
      <c r="B942" s="30"/>
      <c r="C942" s="30"/>
      <c r="D942" s="31"/>
      <c r="E942" s="35"/>
      <c r="F942" s="129"/>
    </row>
    <row r="943" spans="2:6" s="7" customFormat="1" ht="13.5">
      <c r="B943" s="30"/>
      <c r="C943" s="30"/>
      <c r="D943" s="31"/>
      <c r="E943" s="35"/>
      <c r="F943" s="129"/>
    </row>
    <row r="944" spans="2:6" s="7" customFormat="1" ht="13.5">
      <c r="B944" s="30"/>
      <c r="C944" s="30"/>
      <c r="D944" s="31"/>
      <c r="E944" s="35"/>
      <c r="F944" s="129"/>
    </row>
    <row r="945" spans="2:6" s="7" customFormat="1" ht="13.5">
      <c r="B945" s="30"/>
      <c r="C945" s="30"/>
      <c r="D945" s="31"/>
      <c r="E945" s="35"/>
      <c r="F945" s="129"/>
    </row>
    <row r="946" spans="2:6" s="7" customFormat="1" ht="13.5">
      <c r="B946" s="30"/>
      <c r="C946" s="30"/>
      <c r="D946" s="31"/>
      <c r="E946" s="35"/>
      <c r="F946" s="129"/>
    </row>
    <row r="947" spans="2:6" s="7" customFormat="1" ht="13.5">
      <c r="B947" s="30"/>
      <c r="C947" s="30"/>
      <c r="D947" s="31"/>
      <c r="E947" s="35"/>
      <c r="F947" s="129"/>
    </row>
    <row r="948" spans="2:6" s="7" customFormat="1" ht="13.5">
      <c r="B948" s="30"/>
      <c r="C948" s="30"/>
      <c r="D948" s="31"/>
      <c r="E948" s="35"/>
      <c r="F948" s="129"/>
    </row>
    <row r="949" spans="2:6" s="7" customFormat="1" ht="13.5">
      <c r="B949" s="30"/>
      <c r="C949" s="30"/>
      <c r="D949" s="31"/>
      <c r="E949" s="35"/>
      <c r="F949" s="129"/>
    </row>
    <row r="950" spans="2:6" s="7" customFormat="1" ht="13.5">
      <c r="B950" s="30"/>
      <c r="C950" s="30"/>
      <c r="D950" s="31"/>
      <c r="E950" s="35"/>
      <c r="F950" s="129"/>
    </row>
    <row r="951" spans="2:6" s="7" customFormat="1" ht="13.5">
      <c r="B951" s="30"/>
      <c r="C951" s="30"/>
      <c r="D951" s="31"/>
      <c r="E951" s="35"/>
      <c r="F951" s="129"/>
    </row>
    <row r="952" spans="2:6" s="7" customFormat="1" ht="13.5">
      <c r="B952" s="30"/>
      <c r="C952" s="30"/>
      <c r="D952" s="31"/>
      <c r="E952" s="35"/>
      <c r="F952" s="129"/>
    </row>
    <row r="953" spans="2:6" s="7" customFormat="1" ht="13.5">
      <c r="B953" s="30"/>
      <c r="C953" s="30"/>
      <c r="D953" s="31"/>
      <c r="E953" s="35"/>
      <c r="F953" s="129"/>
    </row>
    <row r="954" spans="2:6" s="7" customFormat="1" ht="13.5">
      <c r="B954" s="30"/>
      <c r="C954" s="30"/>
      <c r="D954" s="31"/>
      <c r="E954" s="35"/>
      <c r="F954" s="129"/>
    </row>
    <row r="955" spans="2:6" s="7" customFormat="1" ht="13.5">
      <c r="B955" s="30"/>
      <c r="C955" s="30"/>
      <c r="D955" s="31"/>
      <c r="E955" s="35"/>
      <c r="F955" s="129"/>
    </row>
    <row r="956" spans="2:6" s="7" customFormat="1" ht="13.5">
      <c r="B956" s="30"/>
      <c r="C956" s="30"/>
      <c r="D956" s="31"/>
      <c r="E956" s="35"/>
      <c r="F956" s="129"/>
    </row>
    <row r="957" spans="2:6" s="7" customFormat="1" ht="13.5">
      <c r="B957" s="30"/>
      <c r="C957" s="30"/>
      <c r="D957" s="31"/>
      <c r="E957" s="35"/>
      <c r="F957" s="129"/>
    </row>
    <row r="958" spans="2:6" s="7" customFormat="1" ht="13.5">
      <c r="B958" s="30"/>
      <c r="C958" s="30"/>
      <c r="D958" s="31"/>
      <c r="E958" s="35"/>
      <c r="F958" s="129"/>
    </row>
    <row r="959" spans="2:6" s="7" customFormat="1" ht="13.5">
      <c r="B959" s="30"/>
      <c r="C959" s="30"/>
      <c r="D959" s="31"/>
      <c r="E959" s="35"/>
      <c r="F959" s="129"/>
    </row>
    <row r="960" spans="2:6" s="7" customFormat="1" ht="13.5">
      <c r="B960" s="30"/>
      <c r="C960" s="30"/>
      <c r="D960" s="31"/>
      <c r="E960" s="35"/>
      <c r="F960" s="129"/>
    </row>
    <row r="961" spans="2:6" s="7" customFormat="1" ht="13.5">
      <c r="B961" s="30"/>
      <c r="C961" s="30"/>
      <c r="D961" s="31"/>
      <c r="E961" s="35"/>
      <c r="F961" s="129"/>
    </row>
    <row r="962" spans="2:6" s="7" customFormat="1" ht="13.5">
      <c r="B962" s="30"/>
      <c r="C962" s="30"/>
      <c r="D962" s="31"/>
      <c r="E962" s="35"/>
      <c r="F962" s="129"/>
    </row>
    <row r="963" spans="2:6" s="7" customFormat="1" ht="13.5">
      <c r="B963" s="30"/>
      <c r="C963" s="30"/>
      <c r="D963" s="31"/>
      <c r="E963" s="35"/>
      <c r="F963" s="129"/>
    </row>
    <row r="964" spans="2:6" s="7" customFormat="1" ht="13.5">
      <c r="B964" s="30"/>
      <c r="C964" s="30"/>
      <c r="D964" s="31"/>
      <c r="E964" s="35"/>
      <c r="F964" s="129"/>
    </row>
    <row r="965" spans="2:6" s="7" customFormat="1" ht="13.5">
      <c r="B965" s="30"/>
      <c r="C965" s="30"/>
      <c r="D965" s="31"/>
      <c r="E965" s="35"/>
      <c r="F965" s="129"/>
    </row>
    <row r="966" spans="2:6" s="7" customFormat="1" ht="13.5">
      <c r="B966" s="30"/>
      <c r="C966" s="30"/>
      <c r="D966" s="31"/>
      <c r="E966" s="35"/>
      <c r="F966" s="129"/>
    </row>
    <row r="967" spans="2:6" s="7" customFormat="1" ht="13.5">
      <c r="B967" s="30"/>
      <c r="C967" s="30"/>
      <c r="D967" s="31"/>
      <c r="E967" s="35"/>
      <c r="F967" s="129"/>
    </row>
    <row r="968" spans="2:6" s="7" customFormat="1" ht="13.5">
      <c r="B968" s="30"/>
      <c r="C968" s="30"/>
      <c r="D968" s="31"/>
      <c r="E968" s="35"/>
      <c r="F968" s="129"/>
    </row>
    <row r="969" spans="2:6" s="7" customFormat="1" ht="13.5">
      <c r="B969" s="30"/>
      <c r="C969" s="30"/>
      <c r="D969" s="31"/>
      <c r="E969" s="35"/>
      <c r="F969" s="129"/>
    </row>
    <row r="970" spans="2:6" s="7" customFormat="1" ht="13.5">
      <c r="B970" s="30"/>
      <c r="C970" s="30"/>
      <c r="D970" s="31"/>
      <c r="E970" s="35"/>
      <c r="F970" s="129"/>
    </row>
    <row r="971" spans="2:6" s="7" customFormat="1" ht="13.5">
      <c r="B971" s="30"/>
      <c r="C971" s="30"/>
      <c r="D971" s="31"/>
      <c r="E971" s="35"/>
      <c r="F971" s="129"/>
    </row>
    <row r="972" spans="2:6" s="7" customFormat="1" ht="13.5">
      <c r="B972" s="30"/>
      <c r="C972" s="30"/>
      <c r="D972" s="31"/>
      <c r="E972" s="35"/>
      <c r="F972" s="129"/>
    </row>
    <row r="973" spans="2:6" s="7" customFormat="1" ht="13.5">
      <c r="B973" s="30"/>
      <c r="C973" s="30"/>
      <c r="D973" s="31"/>
      <c r="E973" s="35"/>
      <c r="F973" s="129"/>
    </row>
    <row r="974" spans="2:6" s="7" customFormat="1" ht="13.5">
      <c r="B974" s="30"/>
      <c r="C974" s="30"/>
      <c r="D974" s="31"/>
      <c r="E974" s="35"/>
      <c r="F974" s="129"/>
    </row>
    <row r="975" spans="2:6" s="7" customFormat="1" ht="13.5">
      <c r="B975" s="30"/>
      <c r="C975" s="30"/>
      <c r="D975" s="31"/>
      <c r="E975" s="35"/>
      <c r="F975" s="129"/>
    </row>
    <row r="976" spans="2:6" s="7" customFormat="1" ht="13.5">
      <c r="B976" s="30"/>
      <c r="C976" s="30"/>
      <c r="D976" s="31"/>
      <c r="E976" s="35"/>
      <c r="F976" s="129"/>
    </row>
    <row r="977" spans="2:6" s="7" customFormat="1" ht="13.5">
      <c r="B977" s="30"/>
      <c r="C977" s="30"/>
      <c r="D977" s="31"/>
      <c r="E977" s="35"/>
      <c r="F977" s="129"/>
    </row>
    <row r="978" spans="2:6" s="7" customFormat="1" ht="13.5">
      <c r="B978" s="30"/>
      <c r="C978" s="30"/>
      <c r="D978" s="31"/>
      <c r="E978" s="35"/>
      <c r="F978" s="129"/>
    </row>
    <row r="979" spans="2:6" s="7" customFormat="1" ht="13.5">
      <c r="B979" s="30"/>
      <c r="C979" s="30"/>
      <c r="D979" s="31"/>
      <c r="E979" s="35"/>
      <c r="F979" s="129"/>
    </row>
    <row r="980" spans="2:6" s="7" customFormat="1" ht="13.5">
      <c r="B980" s="30"/>
      <c r="C980" s="30"/>
      <c r="D980" s="31"/>
      <c r="E980" s="35"/>
      <c r="F980" s="129"/>
    </row>
    <row r="981" spans="2:6" s="7" customFormat="1" ht="13.5">
      <c r="B981" s="30"/>
      <c r="C981" s="30"/>
      <c r="D981" s="31"/>
      <c r="E981" s="35"/>
      <c r="F981" s="129"/>
    </row>
    <row r="982" spans="2:6" s="7" customFormat="1" ht="13.5">
      <c r="B982" s="30"/>
      <c r="C982" s="30"/>
      <c r="D982" s="31"/>
      <c r="E982" s="35"/>
      <c r="F982" s="129"/>
    </row>
    <row r="983" spans="2:6" s="7" customFormat="1" ht="13.5">
      <c r="B983" s="30"/>
      <c r="C983" s="30"/>
      <c r="D983" s="31"/>
      <c r="E983" s="35"/>
      <c r="F983" s="129"/>
    </row>
    <row r="984" spans="2:6" s="7" customFormat="1" ht="13.5">
      <c r="B984" s="30"/>
      <c r="C984" s="30"/>
      <c r="D984" s="31"/>
      <c r="E984" s="35"/>
      <c r="F984" s="129"/>
    </row>
    <row r="985" spans="2:6" s="7" customFormat="1" ht="13.5">
      <c r="B985" s="30"/>
      <c r="C985" s="30"/>
      <c r="D985" s="31"/>
      <c r="E985" s="35"/>
      <c r="F985" s="129"/>
    </row>
    <row r="986" spans="2:6" s="7" customFormat="1" ht="13.5">
      <c r="B986" s="30"/>
      <c r="C986" s="30"/>
      <c r="D986" s="31"/>
      <c r="E986" s="35"/>
      <c r="F986" s="129"/>
    </row>
    <row r="987" spans="2:6" s="7" customFormat="1" ht="13.5">
      <c r="B987" s="30"/>
      <c r="C987" s="30"/>
      <c r="D987" s="31"/>
      <c r="E987" s="35"/>
      <c r="F987" s="129"/>
    </row>
    <row r="988" spans="2:6" s="7" customFormat="1" ht="13.5">
      <c r="B988" s="30"/>
      <c r="C988" s="30"/>
      <c r="D988" s="31"/>
      <c r="E988" s="35"/>
      <c r="F988" s="129"/>
    </row>
    <row r="989" spans="2:6" s="7" customFormat="1" ht="13.5">
      <c r="B989" s="30"/>
      <c r="C989" s="30"/>
      <c r="D989" s="31"/>
      <c r="E989" s="35"/>
      <c r="F989" s="129"/>
    </row>
    <row r="990" spans="2:6" s="7" customFormat="1" ht="13.5">
      <c r="B990" s="30"/>
      <c r="C990" s="30"/>
      <c r="D990" s="31"/>
      <c r="E990" s="35"/>
      <c r="F990" s="129"/>
    </row>
    <row r="991" spans="2:6" s="7" customFormat="1" ht="13.5">
      <c r="B991" s="30"/>
      <c r="C991" s="30"/>
      <c r="D991" s="31"/>
      <c r="E991" s="35"/>
      <c r="F991" s="129"/>
    </row>
    <row r="992" spans="2:6" s="7" customFormat="1" ht="13.5">
      <c r="B992" s="30"/>
      <c r="C992" s="30"/>
      <c r="D992" s="31"/>
      <c r="E992" s="35"/>
      <c r="F992" s="129"/>
    </row>
    <row r="993" spans="2:6" s="7" customFormat="1" ht="13.5">
      <c r="B993" s="30"/>
      <c r="C993" s="30"/>
      <c r="D993" s="31"/>
      <c r="E993" s="35"/>
      <c r="F993" s="129"/>
    </row>
    <row r="994" spans="2:6" s="7" customFormat="1" ht="13.5">
      <c r="B994" s="30"/>
      <c r="C994" s="30"/>
      <c r="D994" s="31"/>
      <c r="E994" s="35"/>
      <c r="F994" s="129"/>
    </row>
    <row r="995" spans="2:6" s="7" customFormat="1" ht="13.5">
      <c r="B995" s="30"/>
      <c r="C995" s="30"/>
      <c r="D995" s="31"/>
      <c r="E995" s="35"/>
      <c r="F995" s="129"/>
    </row>
    <row r="996" spans="2:6" s="7" customFormat="1" ht="13.5">
      <c r="B996" s="30"/>
      <c r="C996" s="30"/>
      <c r="D996" s="31"/>
      <c r="E996" s="35"/>
      <c r="F996" s="129"/>
    </row>
    <row r="997" spans="2:6" s="7" customFormat="1" ht="13.5">
      <c r="B997" s="30"/>
      <c r="C997" s="30"/>
      <c r="D997" s="31"/>
      <c r="E997" s="35"/>
      <c r="F997" s="129"/>
    </row>
    <row r="998" spans="2:6" s="7" customFormat="1" ht="13.5">
      <c r="B998" s="30"/>
      <c r="C998" s="30"/>
      <c r="D998" s="31"/>
      <c r="E998" s="35"/>
      <c r="F998" s="129"/>
    </row>
    <row r="999" spans="2:6" s="7" customFormat="1" ht="13.5">
      <c r="B999" s="30"/>
      <c r="C999" s="30"/>
      <c r="D999" s="31"/>
      <c r="E999" s="35"/>
      <c r="F999" s="129"/>
    </row>
    <row r="1000" spans="2:6" s="7" customFormat="1" ht="13.5">
      <c r="B1000" s="30"/>
      <c r="C1000" s="30"/>
      <c r="D1000" s="31"/>
      <c r="E1000" s="35"/>
      <c r="F1000" s="129"/>
    </row>
    <row r="1001" spans="2:6" s="7" customFormat="1" ht="13.5">
      <c r="B1001" s="30"/>
      <c r="C1001" s="30"/>
      <c r="D1001" s="31"/>
      <c r="E1001" s="35"/>
      <c r="F1001" s="129"/>
    </row>
    <row r="1002" spans="2:6" s="7" customFormat="1" ht="13.5">
      <c r="B1002" s="30"/>
      <c r="C1002" s="30"/>
      <c r="D1002" s="31"/>
      <c r="E1002" s="35"/>
      <c r="F1002" s="129"/>
    </row>
    <row r="1003" spans="2:6" s="7" customFormat="1" ht="13.5">
      <c r="B1003" s="30"/>
      <c r="C1003" s="30"/>
      <c r="D1003" s="31"/>
      <c r="E1003" s="35"/>
      <c r="F1003" s="129"/>
    </row>
    <row r="1004" spans="2:6" s="7" customFormat="1" ht="13.5">
      <c r="B1004" s="30"/>
      <c r="C1004" s="30"/>
      <c r="D1004" s="31"/>
      <c r="E1004" s="35"/>
      <c r="F1004" s="129"/>
    </row>
    <row r="1005" spans="2:6" s="7" customFormat="1" ht="13.5">
      <c r="B1005" s="30"/>
      <c r="C1005" s="30"/>
      <c r="D1005" s="31"/>
      <c r="E1005" s="35"/>
      <c r="F1005" s="129"/>
    </row>
    <row r="1006" spans="2:6" s="7" customFormat="1" ht="13.5">
      <c r="B1006" s="30"/>
      <c r="C1006" s="30"/>
      <c r="D1006" s="31"/>
      <c r="E1006" s="35"/>
      <c r="F1006" s="129"/>
    </row>
    <row r="1007" spans="2:6" s="7" customFormat="1" ht="13.5">
      <c r="B1007" s="30"/>
      <c r="C1007" s="30"/>
      <c r="D1007" s="31"/>
      <c r="E1007" s="35"/>
      <c r="F1007" s="129"/>
    </row>
    <row r="1008" spans="2:6" s="7" customFormat="1" ht="13.5">
      <c r="B1008" s="30"/>
      <c r="C1008" s="30"/>
      <c r="D1008" s="31"/>
      <c r="E1008" s="35"/>
      <c r="F1008" s="129"/>
    </row>
    <row r="1009" spans="2:6" s="7" customFormat="1" ht="13.5">
      <c r="B1009" s="30"/>
      <c r="C1009" s="30"/>
      <c r="D1009" s="31"/>
      <c r="E1009" s="35"/>
      <c r="F1009" s="129"/>
    </row>
    <row r="1010" spans="2:6" s="7" customFormat="1" ht="13.5">
      <c r="B1010" s="30"/>
      <c r="C1010" s="30"/>
      <c r="D1010" s="31"/>
      <c r="E1010" s="35"/>
      <c r="F1010" s="129"/>
    </row>
    <row r="1011" spans="2:6" s="7" customFormat="1" ht="13.5">
      <c r="B1011" s="30"/>
      <c r="C1011" s="30"/>
      <c r="D1011" s="31"/>
      <c r="E1011" s="35"/>
      <c r="F1011" s="129"/>
    </row>
    <row r="1012" spans="2:6" s="7" customFormat="1" ht="13.5">
      <c r="B1012" s="30"/>
      <c r="C1012" s="30"/>
      <c r="D1012" s="31"/>
      <c r="E1012" s="35"/>
      <c r="F1012" s="129"/>
    </row>
    <row r="1013" spans="2:6" s="7" customFormat="1" ht="13.5">
      <c r="B1013" s="30"/>
      <c r="C1013" s="30"/>
      <c r="D1013" s="31"/>
      <c r="E1013" s="35"/>
      <c r="F1013" s="129"/>
    </row>
    <row r="1014" spans="2:6" s="7" customFormat="1" ht="13.5">
      <c r="B1014" s="30"/>
      <c r="C1014" s="30"/>
      <c r="D1014" s="31"/>
      <c r="E1014" s="35"/>
      <c r="F1014" s="129"/>
    </row>
    <row r="1015" spans="2:6" s="7" customFormat="1" ht="13.5">
      <c r="B1015" s="30"/>
      <c r="C1015" s="30"/>
      <c r="D1015" s="31"/>
      <c r="E1015" s="35"/>
      <c r="F1015" s="129"/>
    </row>
    <row r="1016" spans="2:6" s="7" customFormat="1" ht="13.5">
      <c r="B1016" s="30"/>
      <c r="C1016" s="30"/>
      <c r="D1016" s="31"/>
      <c r="E1016" s="35"/>
      <c r="F1016" s="129"/>
    </row>
    <row r="1017" spans="2:6" s="7" customFormat="1" ht="13.5">
      <c r="B1017" s="30"/>
      <c r="C1017" s="30"/>
      <c r="D1017" s="31"/>
      <c r="E1017" s="35"/>
      <c r="F1017" s="129"/>
    </row>
    <row r="1018" spans="2:6" s="7" customFormat="1" ht="13.5">
      <c r="B1018" s="30"/>
      <c r="C1018" s="30"/>
      <c r="D1018" s="31"/>
      <c r="E1018" s="35"/>
      <c r="F1018" s="129"/>
    </row>
    <row r="1019" spans="2:6" s="7" customFormat="1" ht="13.5">
      <c r="B1019" s="30"/>
      <c r="C1019" s="30"/>
      <c r="D1019" s="31"/>
      <c r="E1019" s="35"/>
      <c r="F1019" s="129"/>
    </row>
    <row r="1020" spans="2:6" s="7" customFormat="1" ht="13.5">
      <c r="B1020" s="30"/>
      <c r="C1020" s="30"/>
      <c r="D1020" s="31"/>
      <c r="E1020" s="35"/>
      <c r="F1020" s="129"/>
    </row>
    <row r="1021" spans="2:6" s="7" customFormat="1" ht="13.5">
      <c r="B1021" s="30"/>
      <c r="C1021" s="30"/>
      <c r="D1021" s="31"/>
      <c r="E1021" s="35"/>
      <c r="F1021" s="129"/>
    </row>
    <row r="1022" spans="2:6" s="7" customFormat="1" ht="13.5">
      <c r="B1022" s="30"/>
      <c r="C1022" s="30"/>
      <c r="D1022" s="31"/>
      <c r="E1022" s="35"/>
      <c r="F1022" s="129"/>
    </row>
    <row r="1023" spans="2:6" s="7" customFormat="1" ht="13.5">
      <c r="B1023" s="30"/>
      <c r="C1023" s="30"/>
      <c r="D1023" s="31"/>
      <c r="E1023" s="35"/>
      <c r="F1023" s="129"/>
    </row>
    <row r="1024" spans="2:6" s="7" customFormat="1" ht="13.5">
      <c r="B1024" s="30"/>
      <c r="C1024" s="30"/>
      <c r="D1024" s="31"/>
      <c r="E1024" s="35"/>
      <c r="F1024" s="129"/>
    </row>
    <row r="1025" spans="2:6" s="7" customFormat="1" ht="13.5">
      <c r="B1025" s="30"/>
      <c r="C1025" s="30"/>
      <c r="D1025" s="31"/>
      <c r="E1025" s="35"/>
      <c r="F1025" s="129"/>
    </row>
    <row r="1026" spans="2:6" s="7" customFormat="1" ht="13.5">
      <c r="B1026" s="30"/>
      <c r="C1026" s="30"/>
      <c r="D1026" s="31"/>
      <c r="E1026" s="35"/>
      <c r="F1026" s="129"/>
    </row>
    <row r="1027" spans="2:6" s="7" customFormat="1" ht="13.5">
      <c r="B1027" s="30"/>
      <c r="C1027" s="30"/>
      <c r="D1027" s="31"/>
      <c r="E1027" s="35"/>
      <c r="F1027" s="129"/>
    </row>
    <row r="1028" spans="2:6" s="7" customFormat="1" ht="13.5">
      <c r="B1028" s="30"/>
      <c r="C1028" s="30"/>
      <c r="D1028" s="31"/>
      <c r="E1028" s="35"/>
      <c r="F1028" s="129"/>
    </row>
    <row r="1029" spans="2:6" s="7" customFormat="1" ht="13.5">
      <c r="B1029" s="30"/>
      <c r="C1029" s="30"/>
      <c r="D1029" s="31"/>
      <c r="E1029" s="35"/>
      <c r="F1029" s="129"/>
    </row>
    <row r="1030" spans="2:6" s="7" customFormat="1" ht="13.5">
      <c r="B1030" s="30"/>
      <c r="C1030" s="30"/>
      <c r="D1030" s="31"/>
      <c r="E1030" s="35"/>
      <c r="F1030" s="129"/>
    </row>
    <row r="1031" spans="2:6" s="7" customFormat="1" ht="13.5">
      <c r="B1031" s="30"/>
      <c r="C1031" s="30"/>
      <c r="D1031" s="31"/>
      <c r="E1031" s="35"/>
      <c r="F1031" s="129"/>
    </row>
    <row r="1032" spans="2:6" s="7" customFormat="1" ht="13.5">
      <c r="B1032" s="30"/>
      <c r="C1032" s="30"/>
      <c r="D1032" s="31"/>
      <c r="E1032" s="35"/>
      <c r="F1032" s="129"/>
    </row>
    <row r="1033" spans="2:6" s="7" customFormat="1" ht="13.5">
      <c r="B1033" s="30"/>
      <c r="C1033" s="30"/>
      <c r="D1033" s="31"/>
      <c r="E1033" s="35"/>
      <c r="F1033" s="129"/>
    </row>
    <row r="1034" spans="2:6" s="7" customFormat="1" ht="13.5">
      <c r="B1034" s="30"/>
      <c r="C1034" s="30"/>
      <c r="D1034" s="31"/>
      <c r="E1034" s="35"/>
      <c r="F1034" s="129"/>
    </row>
    <row r="1035" spans="2:6" s="7" customFormat="1" ht="13.5">
      <c r="B1035" s="30"/>
      <c r="C1035" s="30"/>
      <c r="D1035" s="31"/>
      <c r="E1035" s="35"/>
      <c r="F1035" s="129"/>
    </row>
    <row r="1036" spans="2:6" s="7" customFormat="1" ht="13.5">
      <c r="B1036" s="30"/>
      <c r="C1036" s="30"/>
      <c r="D1036" s="31"/>
      <c r="E1036" s="35"/>
      <c r="F1036" s="129"/>
    </row>
    <row r="1037" spans="2:6" s="7" customFormat="1" ht="13.5">
      <c r="B1037" s="30"/>
      <c r="C1037" s="30"/>
      <c r="D1037" s="31"/>
      <c r="E1037" s="35"/>
      <c r="F1037" s="129"/>
    </row>
    <row r="1038" spans="2:6" s="7" customFormat="1" ht="13.5">
      <c r="B1038" s="30"/>
      <c r="C1038" s="30"/>
      <c r="D1038" s="31"/>
      <c r="E1038" s="35"/>
      <c r="F1038" s="129"/>
    </row>
    <row r="1039" spans="2:6" s="7" customFormat="1" ht="13.5">
      <c r="B1039" s="30"/>
      <c r="C1039" s="30"/>
      <c r="D1039" s="31"/>
      <c r="E1039" s="35"/>
      <c r="F1039" s="129"/>
    </row>
    <row r="1040" spans="2:6" s="7" customFormat="1" ht="13.5">
      <c r="B1040" s="30"/>
      <c r="C1040" s="30"/>
      <c r="D1040" s="31"/>
      <c r="E1040" s="35"/>
      <c r="F1040" s="129"/>
    </row>
    <row r="1041" spans="2:6" s="7" customFormat="1" ht="13.5">
      <c r="B1041" s="30"/>
      <c r="C1041" s="30"/>
      <c r="D1041" s="31"/>
      <c r="E1041" s="35"/>
      <c r="F1041" s="129"/>
    </row>
    <row r="1042" spans="2:6" s="7" customFormat="1" ht="13.5">
      <c r="B1042" s="30"/>
      <c r="C1042" s="30"/>
      <c r="D1042" s="31"/>
      <c r="E1042" s="35"/>
      <c r="F1042" s="129"/>
    </row>
    <row r="1043" spans="2:6" s="7" customFormat="1" ht="13.5">
      <c r="B1043" s="30"/>
      <c r="C1043" s="30"/>
      <c r="D1043" s="31"/>
      <c r="E1043" s="35"/>
      <c r="F1043" s="129"/>
    </row>
    <row r="1044" spans="2:6" s="7" customFormat="1" ht="13.5">
      <c r="B1044" s="30"/>
      <c r="C1044" s="30"/>
      <c r="D1044" s="31"/>
      <c r="E1044" s="35"/>
      <c r="F1044" s="129"/>
    </row>
    <row r="1045" spans="2:6" s="7" customFormat="1" ht="13.5">
      <c r="B1045" s="30"/>
      <c r="C1045" s="30"/>
      <c r="D1045" s="31"/>
      <c r="E1045" s="35"/>
      <c r="F1045" s="129"/>
    </row>
    <row r="1046" spans="2:6" s="7" customFormat="1" ht="13.5">
      <c r="B1046" s="30"/>
      <c r="C1046" s="30"/>
      <c r="D1046" s="31"/>
      <c r="E1046" s="35"/>
      <c r="F1046" s="129"/>
    </row>
    <row r="1047" spans="2:6" s="7" customFormat="1" ht="13.5">
      <c r="B1047" s="30"/>
      <c r="C1047" s="30"/>
      <c r="D1047" s="31"/>
      <c r="E1047" s="35"/>
      <c r="F1047" s="129"/>
    </row>
    <row r="1048" spans="2:6" s="7" customFormat="1" ht="13.5">
      <c r="B1048" s="30"/>
      <c r="C1048" s="30"/>
      <c r="D1048" s="31"/>
      <c r="E1048" s="35"/>
      <c r="F1048" s="129"/>
    </row>
    <row r="1049" spans="2:6" s="7" customFormat="1" ht="13.5">
      <c r="B1049" s="30"/>
      <c r="C1049" s="30"/>
      <c r="D1049" s="31"/>
      <c r="E1049" s="35"/>
      <c r="F1049" s="129"/>
    </row>
    <row r="1050" spans="2:6" s="7" customFormat="1" ht="13.5">
      <c r="B1050" s="30"/>
      <c r="C1050" s="30"/>
      <c r="D1050" s="31"/>
      <c r="E1050" s="35"/>
      <c r="F1050" s="129"/>
    </row>
    <row r="1051" spans="2:6" s="7" customFormat="1" ht="13.5">
      <c r="B1051" s="30"/>
      <c r="C1051" s="30"/>
      <c r="D1051" s="31"/>
      <c r="E1051" s="35"/>
      <c r="F1051" s="129"/>
    </row>
    <row r="1052" spans="2:6" s="7" customFormat="1" ht="13.5">
      <c r="B1052" s="30"/>
      <c r="C1052" s="30"/>
      <c r="D1052" s="31"/>
      <c r="E1052" s="35"/>
      <c r="F1052" s="129"/>
    </row>
    <row r="1053" spans="2:6" s="7" customFormat="1" ht="13.5">
      <c r="B1053" s="30"/>
      <c r="C1053" s="30"/>
      <c r="D1053" s="31"/>
      <c r="E1053" s="35"/>
      <c r="F1053" s="129"/>
    </row>
    <row r="1054" spans="2:6" s="7" customFormat="1" ht="13.5">
      <c r="B1054" s="30"/>
      <c r="C1054" s="30"/>
      <c r="D1054" s="31"/>
      <c r="E1054" s="35"/>
      <c r="F1054" s="129"/>
    </row>
    <row r="1055" spans="2:6" s="7" customFormat="1" ht="13.5">
      <c r="B1055" s="30"/>
      <c r="C1055" s="30"/>
      <c r="D1055" s="31"/>
      <c r="E1055" s="35"/>
      <c r="F1055" s="129"/>
    </row>
    <row r="1056" spans="2:6" s="7" customFormat="1" ht="13.5">
      <c r="B1056" s="30"/>
      <c r="C1056" s="30"/>
      <c r="D1056" s="31"/>
      <c r="E1056" s="35"/>
      <c r="F1056" s="129"/>
    </row>
    <row r="1057" spans="2:6" s="7" customFormat="1" ht="13.5">
      <c r="B1057" s="30"/>
      <c r="C1057" s="30"/>
      <c r="D1057" s="31"/>
      <c r="E1057" s="35"/>
      <c r="F1057" s="129"/>
    </row>
    <row r="1058" spans="2:6" s="7" customFormat="1" ht="13.5">
      <c r="B1058" s="30"/>
      <c r="C1058" s="30"/>
      <c r="D1058" s="31"/>
      <c r="E1058" s="35"/>
      <c r="F1058" s="129"/>
    </row>
    <row r="1059" spans="2:6" s="7" customFormat="1" ht="13.5">
      <c r="B1059" s="30"/>
      <c r="C1059" s="30"/>
      <c r="D1059" s="31"/>
      <c r="E1059" s="35"/>
      <c r="F1059" s="129"/>
    </row>
    <row r="1060" spans="2:6" s="7" customFormat="1" ht="13.5">
      <c r="B1060" s="30"/>
      <c r="C1060" s="30"/>
      <c r="D1060" s="31"/>
      <c r="E1060" s="35"/>
      <c r="F1060" s="129"/>
    </row>
    <row r="1061" spans="2:6" s="7" customFormat="1" ht="13.5">
      <c r="B1061" s="30"/>
      <c r="C1061" s="30"/>
      <c r="D1061" s="31"/>
      <c r="E1061" s="35"/>
      <c r="F1061" s="129"/>
    </row>
    <row r="1062" spans="2:6" s="7" customFormat="1" ht="13.5">
      <c r="B1062" s="30"/>
      <c r="C1062" s="30"/>
      <c r="D1062" s="31"/>
      <c r="E1062" s="35"/>
      <c r="F1062" s="129"/>
    </row>
    <row r="1063" spans="2:6" s="7" customFormat="1" ht="13.5">
      <c r="B1063" s="30"/>
      <c r="C1063" s="30"/>
      <c r="D1063" s="31"/>
      <c r="E1063" s="35"/>
      <c r="F1063" s="129"/>
    </row>
    <row r="1064" spans="2:6" s="7" customFormat="1" ht="13.5">
      <c r="B1064" s="30"/>
      <c r="C1064" s="30"/>
      <c r="D1064" s="31"/>
      <c r="E1064" s="35"/>
      <c r="F1064" s="129"/>
    </row>
    <row r="1065" spans="2:6" s="7" customFormat="1" ht="13.5">
      <c r="B1065" s="30"/>
      <c r="C1065" s="30"/>
      <c r="D1065" s="31"/>
      <c r="E1065" s="35"/>
      <c r="F1065" s="129"/>
    </row>
    <row r="1066" spans="2:6" s="7" customFormat="1" ht="13.5">
      <c r="B1066" s="30"/>
      <c r="C1066" s="30"/>
      <c r="D1066" s="31"/>
      <c r="E1066" s="35"/>
      <c r="F1066" s="129"/>
    </row>
    <row r="1067" spans="2:6" s="7" customFormat="1" ht="13.5">
      <c r="B1067" s="30"/>
      <c r="C1067" s="30"/>
      <c r="D1067" s="31"/>
      <c r="E1067" s="35"/>
      <c r="F1067" s="129"/>
    </row>
    <row r="1068" spans="2:6" s="7" customFormat="1" ht="13.5">
      <c r="B1068" s="30"/>
      <c r="C1068" s="30"/>
      <c r="D1068" s="31"/>
      <c r="E1068" s="35"/>
      <c r="F1068" s="129"/>
    </row>
    <row r="1069" spans="2:6" s="7" customFormat="1" ht="13.5">
      <c r="B1069" s="30"/>
      <c r="C1069" s="30"/>
      <c r="D1069" s="31"/>
      <c r="E1069" s="35"/>
      <c r="F1069" s="129"/>
    </row>
    <row r="1070" spans="2:6" s="7" customFormat="1" ht="13.5">
      <c r="B1070" s="30"/>
      <c r="C1070" s="30"/>
      <c r="D1070" s="31"/>
      <c r="E1070" s="35"/>
      <c r="F1070" s="129"/>
    </row>
    <row r="1071" spans="2:6" s="7" customFormat="1" ht="13.5">
      <c r="B1071" s="30"/>
      <c r="C1071" s="30"/>
      <c r="D1071" s="31"/>
      <c r="E1071" s="35"/>
      <c r="F1071" s="129"/>
    </row>
    <row r="1072" spans="2:6" s="7" customFormat="1" ht="13.5">
      <c r="B1072" s="30"/>
      <c r="C1072" s="30"/>
      <c r="D1072" s="31"/>
      <c r="E1072" s="35"/>
      <c r="F1072" s="129"/>
    </row>
    <row r="1073" spans="2:6" s="7" customFormat="1" ht="13.5">
      <c r="B1073" s="30"/>
      <c r="C1073" s="30"/>
      <c r="D1073" s="31"/>
      <c r="E1073" s="35"/>
      <c r="F1073" s="129"/>
    </row>
    <row r="1074" spans="2:6" s="7" customFormat="1" ht="13.5">
      <c r="B1074" s="30"/>
      <c r="C1074" s="30"/>
      <c r="D1074" s="31"/>
      <c r="E1074" s="35"/>
      <c r="F1074" s="129"/>
    </row>
    <row r="1075" spans="2:6" s="7" customFormat="1" ht="13.5">
      <c r="B1075" s="30"/>
      <c r="C1075" s="30"/>
      <c r="D1075" s="31"/>
      <c r="E1075" s="35"/>
      <c r="F1075" s="129"/>
    </row>
    <row r="1076" spans="2:6" s="7" customFormat="1" ht="13.5">
      <c r="B1076" s="30"/>
      <c r="C1076" s="30"/>
      <c r="D1076" s="31"/>
      <c r="E1076" s="35"/>
      <c r="F1076" s="129"/>
    </row>
    <row r="1077" spans="2:6" s="7" customFormat="1" ht="13.5">
      <c r="B1077" s="30"/>
      <c r="C1077" s="30"/>
      <c r="D1077" s="31"/>
      <c r="E1077" s="35"/>
      <c r="F1077" s="129"/>
    </row>
    <row r="1078" spans="2:6" s="7" customFormat="1" ht="13.5">
      <c r="B1078" s="30"/>
      <c r="C1078" s="30"/>
      <c r="D1078" s="31"/>
      <c r="E1078" s="35"/>
      <c r="F1078" s="129"/>
    </row>
    <row r="1079" spans="2:6" s="7" customFormat="1" ht="13.5">
      <c r="B1079" s="30"/>
      <c r="C1079" s="30"/>
      <c r="D1079" s="31"/>
      <c r="E1079" s="35"/>
      <c r="F1079" s="129"/>
    </row>
    <row r="1080" spans="2:6" s="7" customFormat="1" ht="13.5">
      <c r="B1080" s="30"/>
      <c r="C1080" s="30"/>
      <c r="D1080" s="31"/>
      <c r="E1080" s="35"/>
      <c r="F1080" s="129"/>
    </row>
    <row r="1081" spans="2:6" s="7" customFormat="1" ht="13.5">
      <c r="B1081" s="30"/>
      <c r="C1081" s="30"/>
      <c r="D1081" s="31"/>
      <c r="E1081" s="35"/>
      <c r="F1081" s="129"/>
    </row>
    <row r="1082" spans="2:6" s="7" customFormat="1" ht="13.5">
      <c r="B1082" s="30"/>
      <c r="C1082" s="30"/>
      <c r="D1082" s="31"/>
      <c r="E1082" s="35"/>
      <c r="F1082" s="129"/>
    </row>
    <row r="1083" spans="2:6" s="7" customFormat="1" ht="13.5">
      <c r="B1083" s="30"/>
      <c r="C1083" s="30"/>
      <c r="D1083" s="31"/>
      <c r="E1083" s="35"/>
      <c r="F1083" s="129"/>
    </row>
    <row r="1084" spans="2:6" s="7" customFormat="1" ht="13.5">
      <c r="B1084" s="30"/>
      <c r="C1084" s="30"/>
      <c r="D1084" s="31"/>
      <c r="E1084" s="35"/>
      <c r="F1084" s="129"/>
    </row>
    <row r="1085" spans="2:6" s="7" customFormat="1" ht="13.5">
      <c r="B1085" s="30"/>
      <c r="C1085" s="30"/>
      <c r="D1085" s="31"/>
      <c r="E1085" s="35"/>
      <c r="F1085" s="129"/>
    </row>
    <row r="1086" spans="2:6" s="7" customFormat="1" ht="13.5">
      <c r="B1086" s="30"/>
      <c r="C1086" s="30"/>
      <c r="D1086" s="31"/>
      <c r="E1086" s="35"/>
      <c r="F1086" s="129"/>
    </row>
    <row r="1087" spans="2:6" s="7" customFormat="1" ht="13.5">
      <c r="B1087" s="30"/>
      <c r="C1087" s="30"/>
      <c r="D1087" s="31"/>
      <c r="E1087" s="35"/>
      <c r="F1087" s="129"/>
    </row>
    <row r="1088" spans="2:6" s="7" customFormat="1" ht="13.5">
      <c r="B1088" s="30"/>
      <c r="C1088" s="30"/>
      <c r="D1088" s="31"/>
      <c r="E1088" s="35"/>
      <c r="F1088" s="129"/>
    </row>
    <row r="1089" spans="2:6" s="7" customFormat="1" ht="13.5">
      <c r="B1089" s="30"/>
      <c r="C1089" s="30"/>
      <c r="D1089" s="31"/>
      <c r="E1089" s="35"/>
      <c r="F1089" s="129"/>
    </row>
    <row r="1090" spans="2:6" s="7" customFormat="1" ht="13.5">
      <c r="B1090" s="30"/>
      <c r="C1090" s="30"/>
      <c r="D1090" s="31"/>
      <c r="E1090" s="35"/>
      <c r="F1090" s="129"/>
    </row>
    <row r="1091" spans="2:6" s="7" customFormat="1" ht="13.5">
      <c r="B1091" s="30"/>
      <c r="C1091" s="30"/>
      <c r="D1091" s="31"/>
      <c r="E1091" s="35"/>
      <c r="F1091" s="129"/>
    </row>
    <row r="1092" spans="2:6" s="7" customFormat="1" ht="13.5">
      <c r="B1092" s="30"/>
      <c r="C1092" s="30"/>
      <c r="D1092" s="31"/>
      <c r="E1092" s="35"/>
      <c r="F1092" s="129"/>
    </row>
    <row r="1093" spans="2:6" s="7" customFormat="1" ht="13.5">
      <c r="B1093" s="30"/>
      <c r="C1093" s="30"/>
      <c r="D1093" s="31"/>
      <c r="E1093" s="35"/>
      <c r="F1093" s="129"/>
    </row>
    <row r="1094" spans="2:6" s="7" customFormat="1" ht="13.5">
      <c r="B1094" s="30"/>
      <c r="C1094" s="30"/>
      <c r="D1094" s="31"/>
      <c r="E1094" s="35"/>
      <c r="F1094" s="129"/>
    </row>
    <row r="1095" spans="2:6" s="7" customFormat="1" ht="13.5">
      <c r="B1095" s="30"/>
      <c r="C1095" s="30"/>
      <c r="D1095" s="31"/>
      <c r="E1095" s="35"/>
      <c r="F1095" s="129"/>
    </row>
    <row r="1096" spans="2:6" s="7" customFormat="1" ht="13.5">
      <c r="B1096" s="30"/>
      <c r="C1096" s="30"/>
      <c r="D1096" s="31"/>
      <c r="E1096" s="35"/>
      <c r="F1096" s="129"/>
    </row>
    <row r="1097" spans="2:6" s="7" customFormat="1" ht="13.5">
      <c r="B1097" s="30"/>
      <c r="C1097" s="30"/>
      <c r="D1097" s="31"/>
      <c r="E1097" s="35"/>
      <c r="F1097" s="129"/>
    </row>
    <row r="1098" spans="2:6" s="7" customFormat="1" ht="13.5">
      <c r="B1098" s="30"/>
      <c r="C1098" s="30"/>
      <c r="D1098" s="31"/>
      <c r="E1098" s="35"/>
      <c r="F1098" s="129"/>
    </row>
    <row r="1099" spans="2:6" s="7" customFormat="1" ht="13.5">
      <c r="B1099" s="30"/>
      <c r="C1099" s="30"/>
      <c r="D1099" s="31"/>
      <c r="E1099" s="35"/>
      <c r="F1099" s="129"/>
    </row>
    <row r="1100" spans="2:6" s="7" customFormat="1" ht="13.5">
      <c r="B1100" s="30"/>
      <c r="C1100" s="30"/>
      <c r="D1100" s="31"/>
      <c r="E1100" s="35"/>
      <c r="F1100" s="129"/>
    </row>
    <row r="1101" spans="2:6" s="7" customFormat="1" ht="13.5">
      <c r="B1101" s="30"/>
      <c r="C1101" s="30"/>
      <c r="D1101" s="31"/>
      <c r="E1101" s="35"/>
      <c r="F1101" s="129"/>
    </row>
    <row r="1102" spans="2:6" s="7" customFormat="1" ht="13.5">
      <c r="B1102" s="30"/>
      <c r="C1102" s="30"/>
      <c r="D1102" s="31"/>
      <c r="E1102" s="35"/>
      <c r="F1102" s="129"/>
    </row>
    <row r="1103" spans="2:6" s="7" customFormat="1" ht="13.5">
      <c r="B1103" s="30"/>
      <c r="C1103" s="30"/>
      <c r="D1103" s="31"/>
      <c r="E1103" s="35"/>
      <c r="F1103" s="129"/>
    </row>
    <row r="1104" spans="2:6" s="7" customFormat="1" ht="13.5">
      <c r="B1104" s="30"/>
      <c r="C1104" s="30"/>
      <c r="D1104" s="31"/>
      <c r="E1104" s="35"/>
      <c r="F1104" s="129"/>
    </row>
    <row r="1105" spans="2:6" s="7" customFormat="1" ht="13.5">
      <c r="B1105" s="30"/>
      <c r="C1105" s="30"/>
      <c r="D1105" s="31"/>
      <c r="E1105" s="35"/>
      <c r="F1105" s="129"/>
    </row>
    <row r="1106" spans="2:6" s="7" customFormat="1" ht="13.5">
      <c r="B1106" s="30"/>
      <c r="C1106" s="30"/>
      <c r="D1106" s="31"/>
      <c r="E1106" s="35"/>
      <c r="F1106" s="129"/>
    </row>
    <row r="1107" spans="2:6" s="7" customFormat="1" ht="13.5">
      <c r="B1107" s="30"/>
      <c r="C1107" s="30"/>
      <c r="D1107" s="31"/>
      <c r="E1107" s="35"/>
      <c r="F1107" s="129"/>
    </row>
    <row r="1108" spans="2:6" s="7" customFormat="1" ht="13.5">
      <c r="B1108" s="30"/>
      <c r="C1108" s="30"/>
      <c r="D1108" s="31"/>
      <c r="E1108" s="35"/>
      <c r="F1108" s="129"/>
    </row>
    <row r="1109" spans="2:6" s="7" customFormat="1" ht="13.5">
      <c r="B1109" s="30"/>
      <c r="C1109" s="30"/>
      <c r="D1109" s="31"/>
      <c r="E1109" s="35"/>
      <c r="F1109" s="129"/>
    </row>
    <row r="1110" spans="2:6" s="7" customFormat="1" ht="13.5">
      <c r="B1110" s="30"/>
      <c r="C1110" s="30"/>
      <c r="D1110" s="31"/>
      <c r="E1110" s="35"/>
      <c r="F1110" s="129"/>
    </row>
    <row r="1111" spans="2:6" s="7" customFormat="1" ht="13.5">
      <c r="B1111" s="30"/>
      <c r="C1111" s="30"/>
      <c r="D1111" s="31"/>
      <c r="E1111" s="35"/>
      <c r="F1111" s="129"/>
    </row>
    <row r="1112" spans="2:6" s="7" customFormat="1" ht="13.5">
      <c r="B1112" s="30"/>
      <c r="C1112" s="30"/>
      <c r="D1112" s="31"/>
      <c r="E1112" s="35"/>
      <c r="F1112" s="129"/>
    </row>
    <row r="1113" spans="2:6" s="7" customFormat="1" ht="13.5">
      <c r="B1113" s="30"/>
      <c r="C1113" s="30"/>
      <c r="D1113" s="31"/>
      <c r="E1113" s="35"/>
      <c r="F1113" s="129"/>
    </row>
    <row r="1114" spans="2:6" s="7" customFormat="1" ht="13.5">
      <c r="B1114" s="30"/>
      <c r="C1114" s="30"/>
      <c r="D1114" s="31"/>
      <c r="E1114" s="35"/>
      <c r="F1114" s="129"/>
    </row>
    <row r="1115" spans="2:6" s="7" customFormat="1" ht="13.5">
      <c r="B1115" s="30"/>
      <c r="C1115" s="30"/>
      <c r="D1115" s="31"/>
      <c r="E1115" s="35"/>
      <c r="F1115" s="129"/>
    </row>
    <row r="1116" spans="2:6" s="7" customFormat="1" ht="13.5">
      <c r="B1116" s="30"/>
      <c r="C1116" s="30"/>
      <c r="D1116" s="31"/>
      <c r="E1116" s="35"/>
      <c r="F1116" s="129"/>
    </row>
    <row r="1117" spans="2:6" s="7" customFormat="1" ht="13.5">
      <c r="B1117" s="30"/>
      <c r="C1117" s="30"/>
      <c r="D1117" s="31"/>
      <c r="E1117" s="35"/>
      <c r="F1117" s="129"/>
    </row>
    <row r="1118" spans="2:6" s="7" customFormat="1" ht="13.5">
      <c r="B1118" s="30"/>
      <c r="C1118" s="30"/>
      <c r="D1118" s="31"/>
      <c r="E1118" s="35"/>
      <c r="F1118" s="129"/>
    </row>
    <row r="1119" spans="2:6" s="7" customFormat="1" ht="13.5">
      <c r="B1119" s="30"/>
      <c r="C1119" s="30"/>
      <c r="D1119" s="31"/>
      <c r="E1119" s="35"/>
      <c r="F1119" s="129"/>
    </row>
    <row r="1120" spans="2:6" s="7" customFormat="1" ht="13.5">
      <c r="B1120" s="30"/>
      <c r="C1120" s="30"/>
      <c r="D1120" s="31"/>
      <c r="E1120" s="35"/>
      <c r="F1120" s="129"/>
    </row>
    <row r="1121" spans="2:6" s="7" customFormat="1" ht="13.5">
      <c r="B1121" s="30"/>
      <c r="C1121" s="30"/>
      <c r="D1121" s="31"/>
      <c r="E1121" s="35"/>
      <c r="F1121" s="129"/>
    </row>
    <row r="1122" spans="2:6" s="7" customFormat="1" ht="13.5">
      <c r="B1122" s="30"/>
      <c r="C1122" s="30"/>
      <c r="D1122" s="31"/>
      <c r="E1122" s="35"/>
      <c r="F1122" s="129"/>
    </row>
    <row r="1123" spans="2:6" s="7" customFormat="1" ht="13.5">
      <c r="B1123" s="30"/>
      <c r="C1123" s="30"/>
      <c r="D1123" s="31"/>
      <c r="E1123" s="35"/>
      <c r="F1123" s="129"/>
    </row>
    <row r="1124" spans="2:6" s="7" customFormat="1" ht="13.5">
      <c r="B1124" s="30"/>
      <c r="C1124" s="30"/>
      <c r="D1124" s="31"/>
      <c r="E1124" s="35"/>
      <c r="F1124" s="129"/>
    </row>
    <row r="1125" spans="2:6" s="7" customFormat="1" ht="13.5">
      <c r="B1125" s="30"/>
      <c r="C1125" s="30"/>
      <c r="D1125" s="31"/>
      <c r="E1125" s="35"/>
      <c r="F1125" s="129"/>
    </row>
    <row r="1126" spans="2:6" s="7" customFormat="1" ht="13.5">
      <c r="B1126" s="30"/>
      <c r="C1126" s="30"/>
      <c r="D1126" s="31"/>
      <c r="E1126" s="35"/>
      <c r="F1126" s="129"/>
    </row>
    <row r="1127" spans="2:6" s="7" customFormat="1" ht="13.5">
      <c r="B1127" s="30"/>
      <c r="C1127" s="30"/>
      <c r="D1127" s="31"/>
      <c r="E1127" s="35"/>
      <c r="F1127" s="129"/>
    </row>
    <row r="1128" spans="2:6" s="7" customFormat="1" ht="13.5">
      <c r="B1128" s="30"/>
      <c r="C1128" s="30"/>
      <c r="D1128" s="31"/>
      <c r="E1128" s="35"/>
      <c r="F1128" s="129"/>
    </row>
    <row r="1129" spans="2:6" s="7" customFormat="1" ht="13.5">
      <c r="B1129" s="30"/>
      <c r="C1129" s="30"/>
      <c r="D1129" s="31"/>
      <c r="E1129" s="35"/>
      <c r="F1129" s="129"/>
    </row>
    <row r="1130" spans="2:6" s="7" customFormat="1" ht="13.5">
      <c r="B1130" s="30"/>
      <c r="C1130" s="30"/>
      <c r="D1130" s="31"/>
      <c r="E1130" s="35"/>
      <c r="F1130" s="129"/>
    </row>
    <row r="1131" spans="2:6" s="7" customFormat="1" ht="13.5">
      <c r="B1131" s="30"/>
      <c r="C1131" s="30"/>
      <c r="D1131" s="31"/>
      <c r="E1131" s="35"/>
      <c r="F1131" s="129"/>
    </row>
    <row r="1132" spans="2:6" s="7" customFormat="1" ht="13.5">
      <c r="B1132" s="30"/>
      <c r="C1132" s="30"/>
      <c r="D1132" s="31"/>
      <c r="E1132" s="35"/>
      <c r="F1132" s="129"/>
    </row>
    <row r="1133" spans="2:6" s="7" customFormat="1" ht="13.5">
      <c r="B1133" s="30"/>
      <c r="C1133" s="30"/>
      <c r="D1133" s="31"/>
      <c r="E1133" s="35"/>
      <c r="F1133" s="129"/>
    </row>
    <row r="1134" spans="2:6" s="7" customFormat="1" ht="13.5">
      <c r="B1134" s="30"/>
      <c r="C1134" s="30"/>
      <c r="D1134" s="31"/>
      <c r="E1134" s="35"/>
      <c r="F1134" s="129"/>
    </row>
    <row r="1135" spans="2:6" s="7" customFormat="1" ht="13.5">
      <c r="B1135" s="30"/>
      <c r="C1135" s="30"/>
      <c r="D1135" s="31"/>
      <c r="E1135" s="35"/>
      <c r="F1135" s="129"/>
    </row>
    <row r="1136" spans="2:6" s="7" customFormat="1" ht="13.5">
      <c r="B1136" s="30"/>
      <c r="C1136" s="30"/>
      <c r="D1136" s="31"/>
      <c r="E1136" s="35"/>
      <c r="F1136" s="129"/>
    </row>
    <row r="1137" spans="2:6" s="7" customFormat="1" ht="13.5">
      <c r="B1137" s="30"/>
      <c r="C1137" s="30"/>
      <c r="D1137" s="31"/>
      <c r="E1137" s="35"/>
      <c r="F1137" s="129"/>
    </row>
    <row r="1138" spans="2:6" s="7" customFormat="1" ht="13.5">
      <c r="B1138" s="30"/>
      <c r="C1138" s="30"/>
      <c r="D1138" s="31"/>
      <c r="E1138" s="35"/>
      <c r="F1138" s="129"/>
    </row>
    <row r="1139" spans="2:6" s="7" customFormat="1" ht="13.5">
      <c r="B1139" s="30"/>
      <c r="C1139" s="30"/>
      <c r="D1139" s="31"/>
      <c r="E1139" s="35"/>
      <c r="F1139" s="129"/>
    </row>
    <row r="1140" spans="2:6" s="7" customFormat="1" ht="13.5">
      <c r="B1140" s="30"/>
      <c r="C1140" s="30"/>
      <c r="D1140" s="31"/>
      <c r="E1140" s="35"/>
      <c r="F1140" s="129"/>
    </row>
    <row r="1141" spans="2:6" s="7" customFormat="1" ht="13.5">
      <c r="B1141" s="30"/>
      <c r="C1141" s="30"/>
      <c r="D1141" s="31"/>
      <c r="E1141" s="35"/>
      <c r="F1141" s="129"/>
    </row>
    <row r="1142" spans="2:6" s="7" customFormat="1" ht="13.5">
      <c r="B1142" s="30"/>
      <c r="C1142" s="30"/>
      <c r="D1142" s="31"/>
      <c r="E1142" s="35"/>
      <c r="F1142" s="129"/>
    </row>
    <row r="1143" spans="2:6" s="7" customFormat="1" ht="13.5">
      <c r="B1143" s="30"/>
      <c r="C1143" s="30"/>
      <c r="D1143" s="31"/>
      <c r="E1143" s="35"/>
      <c r="F1143" s="129"/>
    </row>
    <row r="1144" spans="2:6" s="7" customFormat="1" ht="13.5">
      <c r="B1144" s="30"/>
      <c r="C1144" s="30"/>
      <c r="D1144" s="31"/>
      <c r="E1144" s="35"/>
      <c r="F1144" s="129"/>
    </row>
    <row r="1145" spans="2:6" s="7" customFormat="1" ht="13.5">
      <c r="B1145" s="30"/>
      <c r="C1145" s="30"/>
      <c r="D1145" s="31"/>
      <c r="E1145" s="35"/>
      <c r="F1145" s="129"/>
    </row>
    <row r="1146" spans="2:6" s="7" customFormat="1" ht="13.5">
      <c r="B1146" s="30"/>
      <c r="C1146" s="30"/>
      <c r="D1146" s="31"/>
      <c r="E1146" s="35"/>
      <c r="F1146" s="129"/>
    </row>
    <row r="1147" spans="2:6" s="7" customFormat="1" ht="13.5">
      <c r="B1147" s="30"/>
      <c r="C1147" s="30"/>
      <c r="D1147" s="31"/>
      <c r="E1147" s="35"/>
      <c r="F1147" s="129"/>
    </row>
    <row r="1148" spans="2:6" s="7" customFormat="1" ht="13.5">
      <c r="B1148" s="30"/>
      <c r="C1148" s="30"/>
      <c r="D1148" s="31"/>
      <c r="E1148" s="35"/>
      <c r="F1148" s="129"/>
    </row>
    <row r="1149" spans="2:6" s="7" customFormat="1" ht="13.5">
      <c r="B1149" s="30"/>
      <c r="C1149" s="30"/>
      <c r="D1149" s="31"/>
      <c r="E1149" s="35"/>
      <c r="F1149" s="129"/>
    </row>
    <row r="1150" spans="2:6" s="7" customFormat="1" ht="13.5">
      <c r="B1150" s="30"/>
      <c r="C1150" s="30"/>
      <c r="D1150" s="31"/>
      <c r="E1150" s="35"/>
      <c r="F1150" s="129"/>
    </row>
    <row r="1151" spans="2:6" s="7" customFormat="1" ht="13.5">
      <c r="B1151" s="30"/>
      <c r="C1151" s="30"/>
      <c r="D1151" s="31"/>
      <c r="E1151" s="35"/>
      <c r="F1151" s="129"/>
    </row>
    <row r="1152" spans="2:6" s="7" customFormat="1" ht="13.5">
      <c r="B1152" s="30"/>
      <c r="C1152" s="30"/>
      <c r="D1152" s="31"/>
      <c r="E1152" s="35"/>
      <c r="F1152" s="129"/>
    </row>
    <row r="1153" spans="2:6" s="7" customFormat="1" ht="13.5">
      <c r="B1153" s="30"/>
      <c r="C1153" s="30"/>
      <c r="D1153" s="31"/>
      <c r="E1153" s="35"/>
      <c r="F1153" s="129"/>
    </row>
    <row r="1154" spans="2:6" s="7" customFormat="1" ht="13.5">
      <c r="B1154" s="30"/>
      <c r="C1154" s="30"/>
      <c r="D1154" s="31"/>
      <c r="E1154" s="35"/>
      <c r="F1154" s="129"/>
    </row>
    <row r="1155" spans="2:6" s="7" customFormat="1" ht="13.5">
      <c r="B1155" s="30"/>
      <c r="C1155" s="30"/>
      <c r="D1155" s="31"/>
      <c r="E1155" s="35"/>
      <c r="F1155" s="129"/>
    </row>
    <row r="1156" spans="2:6" s="7" customFormat="1" ht="13.5">
      <c r="B1156" s="30"/>
      <c r="C1156" s="30"/>
      <c r="D1156" s="31"/>
      <c r="E1156" s="35"/>
      <c r="F1156" s="129"/>
    </row>
    <row r="1157" spans="2:6" s="7" customFormat="1" ht="13.5">
      <c r="B1157" s="30"/>
      <c r="C1157" s="30"/>
      <c r="D1157" s="31"/>
      <c r="E1157" s="35"/>
      <c r="F1157" s="129"/>
    </row>
    <row r="1158" spans="2:6" s="7" customFormat="1" ht="13.5">
      <c r="B1158" s="30"/>
      <c r="C1158" s="30"/>
      <c r="D1158" s="31"/>
      <c r="E1158" s="35"/>
      <c r="F1158" s="129"/>
    </row>
    <row r="1159" spans="2:6" s="7" customFormat="1" ht="13.5">
      <c r="B1159" s="30"/>
      <c r="C1159" s="30"/>
      <c r="D1159" s="31"/>
      <c r="E1159" s="35"/>
      <c r="F1159" s="129"/>
    </row>
    <row r="1160" spans="2:6" s="7" customFormat="1" ht="13.5">
      <c r="B1160" s="30"/>
      <c r="C1160" s="30"/>
      <c r="D1160" s="31"/>
      <c r="E1160" s="35"/>
      <c r="F1160" s="129"/>
    </row>
    <row r="1161" spans="2:6" s="7" customFormat="1" ht="13.5">
      <c r="B1161" s="30"/>
      <c r="C1161" s="30"/>
      <c r="D1161" s="31"/>
      <c r="E1161" s="35"/>
      <c r="F1161" s="129"/>
    </row>
    <row r="1162" spans="2:6" s="7" customFormat="1" ht="13.5">
      <c r="B1162" s="30"/>
      <c r="C1162" s="30"/>
      <c r="D1162" s="31"/>
      <c r="E1162" s="35"/>
      <c r="F1162" s="129"/>
    </row>
    <row r="1163" spans="2:6" s="7" customFormat="1" ht="13.5">
      <c r="B1163" s="30"/>
      <c r="C1163" s="30"/>
      <c r="D1163" s="31"/>
      <c r="E1163" s="35"/>
      <c r="F1163" s="129"/>
    </row>
    <row r="1164" spans="2:6" s="7" customFormat="1" ht="13.5">
      <c r="B1164" s="30"/>
      <c r="C1164" s="30"/>
      <c r="D1164" s="31"/>
      <c r="E1164" s="35"/>
      <c r="F1164" s="129"/>
    </row>
    <row r="1165" spans="2:6" s="7" customFormat="1" ht="13.5">
      <c r="B1165" s="30"/>
      <c r="C1165" s="30"/>
      <c r="D1165" s="31"/>
      <c r="E1165" s="35"/>
      <c r="F1165" s="129"/>
    </row>
    <row r="1166" spans="2:6" s="7" customFormat="1" ht="13.5">
      <c r="B1166" s="30"/>
      <c r="C1166" s="30"/>
      <c r="D1166" s="31"/>
      <c r="E1166" s="35"/>
      <c r="F1166" s="129"/>
    </row>
    <row r="1167" spans="2:6" s="7" customFormat="1" ht="13.5">
      <c r="B1167" s="30"/>
      <c r="C1167" s="30"/>
      <c r="D1167" s="31"/>
      <c r="E1167" s="35"/>
      <c r="F1167" s="129"/>
    </row>
    <row r="1168" spans="2:6" s="7" customFormat="1" ht="13.5">
      <c r="B1168" s="30"/>
      <c r="C1168" s="30"/>
      <c r="D1168" s="31"/>
      <c r="E1168" s="35"/>
      <c r="F1168" s="129"/>
    </row>
    <row r="1169" spans="2:6" s="7" customFormat="1" ht="13.5">
      <c r="B1169" s="30"/>
      <c r="C1169" s="30"/>
      <c r="D1169" s="31"/>
      <c r="E1169" s="35"/>
      <c r="F1169" s="129"/>
    </row>
    <row r="1170" spans="2:6" s="7" customFormat="1" ht="13.5">
      <c r="B1170" s="30"/>
      <c r="C1170" s="30"/>
      <c r="D1170" s="31"/>
      <c r="E1170" s="35"/>
      <c r="F1170" s="129"/>
    </row>
    <row r="1171" spans="2:6" s="7" customFormat="1" ht="13.5">
      <c r="B1171" s="30"/>
      <c r="C1171" s="30"/>
      <c r="D1171" s="31"/>
      <c r="E1171" s="35"/>
      <c r="F1171" s="129"/>
    </row>
    <row r="1172" spans="2:6" s="7" customFormat="1" ht="13.5">
      <c r="B1172" s="30"/>
      <c r="C1172" s="30"/>
      <c r="D1172" s="31"/>
      <c r="E1172" s="35"/>
      <c r="F1172" s="129"/>
    </row>
    <row r="1173" spans="2:6" s="7" customFormat="1" ht="13.5">
      <c r="B1173" s="30"/>
      <c r="C1173" s="30"/>
      <c r="D1173" s="31"/>
      <c r="E1173" s="35"/>
      <c r="F1173" s="129"/>
    </row>
    <row r="1174" spans="2:6" s="7" customFormat="1" ht="13.5">
      <c r="B1174" s="30"/>
      <c r="C1174" s="30"/>
      <c r="D1174" s="31"/>
      <c r="E1174" s="35"/>
      <c r="F1174" s="129"/>
    </row>
    <row r="1175" spans="2:6" s="7" customFormat="1" ht="13.5">
      <c r="B1175" s="30"/>
      <c r="C1175" s="30"/>
      <c r="D1175" s="31"/>
      <c r="E1175" s="35"/>
      <c r="F1175" s="129"/>
    </row>
    <row r="1176" spans="2:6" s="7" customFormat="1" ht="13.5">
      <c r="B1176" s="30"/>
      <c r="C1176" s="30"/>
      <c r="D1176" s="31"/>
      <c r="E1176" s="35"/>
      <c r="F1176" s="129"/>
    </row>
    <row r="1177" spans="2:6" s="7" customFormat="1" ht="13.5">
      <c r="B1177" s="30"/>
      <c r="C1177" s="30"/>
      <c r="D1177" s="31"/>
      <c r="E1177" s="35"/>
      <c r="F1177" s="129"/>
    </row>
    <row r="1178" spans="2:6" s="7" customFormat="1" ht="13.5">
      <c r="B1178" s="30"/>
      <c r="C1178" s="30"/>
      <c r="D1178" s="31"/>
      <c r="E1178" s="35"/>
      <c r="F1178" s="129"/>
    </row>
    <row r="1179" spans="2:6" s="7" customFormat="1" ht="13.5">
      <c r="B1179" s="30"/>
      <c r="C1179" s="30"/>
      <c r="D1179" s="31"/>
      <c r="E1179" s="35"/>
      <c r="F1179" s="129"/>
    </row>
    <row r="1180" spans="2:6" s="7" customFormat="1" ht="13.5">
      <c r="B1180" s="30"/>
      <c r="C1180" s="30"/>
      <c r="D1180" s="31"/>
      <c r="E1180" s="35"/>
      <c r="F1180" s="129"/>
    </row>
    <row r="1181" spans="2:6" s="7" customFormat="1" ht="13.5">
      <c r="B1181" s="30"/>
      <c r="C1181" s="30"/>
      <c r="D1181" s="31"/>
      <c r="E1181" s="35"/>
      <c r="F1181" s="129"/>
    </row>
    <row r="1182" spans="2:6" s="7" customFormat="1" ht="13.5">
      <c r="B1182" s="30"/>
      <c r="C1182" s="30"/>
      <c r="D1182" s="31"/>
      <c r="E1182" s="35"/>
      <c r="F1182" s="129"/>
    </row>
    <row r="1183" spans="2:6" s="7" customFormat="1" ht="13.5">
      <c r="B1183" s="30"/>
      <c r="C1183" s="30"/>
      <c r="D1183" s="31"/>
      <c r="E1183" s="35"/>
      <c r="F1183" s="129"/>
    </row>
    <row r="1184" spans="2:6" s="7" customFormat="1" ht="13.5">
      <c r="B1184" s="30"/>
      <c r="C1184" s="30"/>
      <c r="D1184" s="31"/>
      <c r="E1184" s="35"/>
      <c r="F1184" s="129"/>
    </row>
    <row r="1185" spans="2:6" s="7" customFormat="1" ht="13.5">
      <c r="B1185" s="30"/>
      <c r="C1185" s="30"/>
      <c r="D1185" s="31"/>
      <c r="E1185" s="35"/>
      <c r="F1185" s="129"/>
    </row>
    <row r="1186" spans="2:6" s="7" customFormat="1" ht="13.5">
      <c r="B1186" s="30"/>
      <c r="C1186" s="30"/>
      <c r="D1186" s="31"/>
      <c r="E1186" s="35"/>
      <c r="F1186" s="129"/>
    </row>
    <row r="1187" spans="2:6" s="7" customFormat="1" ht="13.5">
      <c r="B1187" s="30"/>
      <c r="C1187" s="30"/>
      <c r="D1187" s="31"/>
      <c r="E1187" s="35"/>
      <c r="F1187" s="129"/>
    </row>
    <row r="1188" spans="2:6" s="7" customFormat="1" ht="13.5">
      <c r="B1188" s="30"/>
      <c r="C1188" s="30"/>
      <c r="D1188" s="31"/>
      <c r="E1188" s="35"/>
      <c r="F1188" s="129"/>
    </row>
    <row r="1189" spans="2:6" s="7" customFormat="1" ht="13.5">
      <c r="B1189" s="30"/>
      <c r="C1189" s="30"/>
      <c r="D1189" s="31"/>
      <c r="E1189" s="35"/>
      <c r="F1189" s="129"/>
    </row>
    <row r="1190" spans="2:6" s="7" customFormat="1" ht="13.5">
      <c r="B1190" s="30"/>
      <c r="C1190" s="30"/>
      <c r="D1190" s="31"/>
      <c r="E1190" s="35"/>
      <c r="F1190" s="129"/>
    </row>
    <row r="1191" spans="2:6" s="7" customFormat="1" ht="13.5">
      <c r="B1191" s="30"/>
      <c r="C1191" s="30"/>
      <c r="D1191" s="31"/>
      <c r="E1191" s="35"/>
      <c r="F1191" s="129"/>
    </row>
    <row r="1192" spans="2:6" s="7" customFormat="1" ht="13.5">
      <c r="B1192" s="30"/>
      <c r="C1192" s="30"/>
      <c r="D1192" s="31"/>
      <c r="E1192" s="35"/>
      <c r="F1192" s="129"/>
    </row>
    <row r="1193" spans="2:6" s="7" customFormat="1" ht="13.5">
      <c r="B1193" s="30"/>
      <c r="C1193" s="30"/>
      <c r="D1193" s="31"/>
      <c r="E1193" s="35"/>
      <c r="F1193" s="129"/>
    </row>
    <row r="1194" spans="2:6" s="7" customFormat="1" ht="13.5">
      <c r="B1194" s="30"/>
      <c r="C1194" s="30"/>
      <c r="D1194" s="31"/>
      <c r="E1194" s="35"/>
      <c r="F1194" s="129"/>
    </row>
    <row r="1195" spans="2:6" s="7" customFormat="1" ht="13.5">
      <c r="B1195" s="30"/>
      <c r="C1195" s="30"/>
      <c r="D1195" s="31"/>
      <c r="E1195" s="35"/>
      <c r="F1195" s="129"/>
    </row>
    <row r="1196" spans="2:6" s="7" customFormat="1" ht="13.5">
      <c r="B1196" s="30"/>
      <c r="C1196" s="30"/>
      <c r="D1196" s="31"/>
      <c r="E1196" s="35"/>
      <c r="F1196" s="129"/>
    </row>
    <row r="1197" spans="2:6" s="7" customFormat="1" ht="13.5">
      <c r="B1197" s="30"/>
      <c r="C1197" s="30"/>
      <c r="D1197" s="31"/>
      <c r="E1197" s="35"/>
      <c r="F1197" s="129"/>
    </row>
    <row r="1198" spans="2:6" s="7" customFormat="1" ht="13.5">
      <c r="B1198" s="30"/>
      <c r="C1198" s="30"/>
      <c r="D1198" s="31"/>
      <c r="E1198" s="35"/>
      <c r="F1198" s="129"/>
    </row>
    <row r="1199" spans="2:6" s="7" customFormat="1" ht="13.5">
      <c r="B1199" s="30"/>
      <c r="C1199" s="30"/>
      <c r="D1199" s="31"/>
      <c r="E1199" s="35"/>
      <c r="F1199" s="129"/>
    </row>
    <row r="1200" spans="2:6" s="7" customFormat="1" ht="13.5">
      <c r="B1200" s="30"/>
      <c r="C1200" s="30"/>
      <c r="D1200" s="31"/>
      <c r="E1200" s="35"/>
      <c r="F1200" s="129"/>
    </row>
    <row r="1201" spans="2:6" s="7" customFormat="1" ht="13.5">
      <c r="B1201" s="30"/>
      <c r="C1201" s="30"/>
      <c r="D1201" s="31"/>
      <c r="E1201" s="35"/>
      <c r="F1201" s="129"/>
    </row>
    <row r="1202" spans="2:6" s="7" customFormat="1" ht="13.5">
      <c r="B1202" s="30"/>
      <c r="C1202" s="30"/>
      <c r="D1202" s="31"/>
      <c r="E1202" s="35"/>
      <c r="F1202" s="129"/>
    </row>
    <row r="1203" spans="2:6" s="7" customFormat="1" ht="13.5">
      <c r="B1203" s="30"/>
      <c r="C1203" s="30"/>
      <c r="D1203" s="31"/>
      <c r="E1203" s="35"/>
      <c r="F1203" s="129"/>
    </row>
    <row r="1204" spans="2:6" s="7" customFormat="1" ht="13.5">
      <c r="B1204" s="30"/>
      <c r="C1204" s="30"/>
      <c r="D1204" s="31"/>
      <c r="E1204" s="35"/>
      <c r="F1204" s="129"/>
    </row>
    <row r="1205" spans="2:6" s="7" customFormat="1" ht="13.5">
      <c r="B1205" s="30"/>
      <c r="C1205" s="30"/>
      <c r="D1205" s="31"/>
      <c r="E1205" s="35"/>
      <c r="F1205" s="129"/>
    </row>
    <row r="1206" spans="2:6" s="7" customFormat="1" ht="13.5">
      <c r="B1206" s="30"/>
      <c r="C1206" s="30"/>
      <c r="D1206" s="31"/>
      <c r="E1206" s="35"/>
      <c r="F1206" s="129"/>
    </row>
    <row r="1207" spans="2:6" s="7" customFormat="1" ht="13.5">
      <c r="B1207" s="30"/>
      <c r="C1207" s="30"/>
      <c r="D1207" s="31"/>
      <c r="E1207" s="35"/>
      <c r="F1207" s="129"/>
    </row>
    <row r="1208" spans="2:6" s="7" customFormat="1" ht="13.5">
      <c r="B1208" s="30"/>
      <c r="C1208" s="30"/>
      <c r="D1208" s="31"/>
      <c r="E1208" s="35"/>
      <c r="F1208" s="129"/>
    </row>
    <row r="1209" spans="2:6" s="7" customFormat="1" ht="13.5">
      <c r="B1209" s="30"/>
      <c r="C1209" s="30"/>
      <c r="D1209" s="31"/>
      <c r="E1209" s="35"/>
      <c r="F1209" s="129"/>
    </row>
    <row r="1210" spans="2:6" s="7" customFormat="1" ht="13.5">
      <c r="B1210" s="30"/>
      <c r="C1210" s="30"/>
      <c r="D1210" s="31"/>
      <c r="E1210" s="35"/>
      <c r="F1210" s="129"/>
    </row>
    <row r="1211" spans="2:6" s="7" customFormat="1" ht="13.5">
      <c r="B1211" s="30"/>
      <c r="C1211" s="30"/>
      <c r="D1211" s="31"/>
      <c r="E1211" s="35"/>
      <c r="F1211" s="129"/>
    </row>
    <row r="1212" spans="2:6" s="7" customFormat="1" ht="13.5">
      <c r="B1212" s="30"/>
      <c r="C1212" s="30"/>
      <c r="D1212" s="31"/>
      <c r="E1212" s="35"/>
      <c r="F1212" s="129"/>
    </row>
    <row r="1213" spans="2:6" s="7" customFormat="1" ht="13.5">
      <c r="B1213" s="30"/>
      <c r="C1213" s="30"/>
      <c r="D1213" s="31"/>
      <c r="E1213" s="35"/>
      <c r="F1213" s="129"/>
    </row>
    <row r="1214" spans="2:6" s="7" customFormat="1" ht="13.5">
      <c r="B1214" s="30"/>
      <c r="C1214" s="30"/>
      <c r="D1214" s="31"/>
      <c r="E1214" s="35"/>
      <c r="F1214" s="129"/>
    </row>
    <row r="1215" spans="2:6" s="7" customFormat="1" ht="13.5">
      <c r="B1215" s="30"/>
      <c r="C1215" s="30"/>
      <c r="D1215" s="31"/>
      <c r="E1215" s="35"/>
      <c r="F1215" s="129"/>
    </row>
    <row r="1216" spans="2:6" s="7" customFormat="1" ht="13.5">
      <c r="B1216" s="30"/>
      <c r="C1216" s="30"/>
      <c r="D1216" s="31"/>
      <c r="E1216" s="35"/>
      <c r="F1216" s="129"/>
    </row>
    <row r="1217" spans="2:6" s="7" customFormat="1" ht="13.5">
      <c r="B1217" s="30"/>
      <c r="C1217" s="30"/>
      <c r="D1217" s="31"/>
      <c r="E1217" s="35"/>
      <c r="F1217" s="129"/>
    </row>
    <row r="1218" spans="2:6" s="7" customFormat="1" ht="13.5">
      <c r="B1218" s="30"/>
      <c r="C1218" s="30"/>
      <c r="D1218" s="31"/>
      <c r="E1218" s="35"/>
      <c r="F1218" s="129"/>
    </row>
    <row r="1219" spans="2:6" s="7" customFormat="1" ht="13.5">
      <c r="B1219" s="30"/>
      <c r="C1219" s="30"/>
      <c r="D1219" s="31"/>
      <c r="E1219" s="35"/>
      <c r="F1219" s="129"/>
    </row>
    <row r="1220" spans="2:6" s="7" customFormat="1" ht="13.5">
      <c r="B1220" s="30"/>
      <c r="C1220" s="30"/>
      <c r="D1220" s="31"/>
      <c r="E1220" s="35"/>
      <c r="F1220" s="129"/>
    </row>
    <row r="1221" spans="2:6" s="7" customFormat="1" ht="13.5">
      <c r="B1221" s="30"/>
      <c r="C1221" s="30"/>
      <c r="D1221" s="31"/>
      <c r="E1221" s="35"/>
      <c r="F1221" s="129"/>
    </row>
    <row r="1222" spans="2:6" s="7" customFormat="1" ht="13.5">
      <c r="B1222" s="30"/>
      <c r="C1222" s="30"/>
      <c r="D1222" s="31"/>
      <c r="E1222" s="35"/>
      <c r="F1222" s="129"/>
    </row>
    <row r="1223" spans="2:6" s="7" customFormat="1" ht="13.5">
      <c r="B1223" s="30"/>
      <c r="C1223" s="30"/>
      <c r="D1223" s="31"/>
      <c r="E1223" s="35"/>
      <c r="F1223" s="129"/>
    </row>
    <row r="1224" spans="2:6" s="7" customFormat="1" ht="13.5">
      <c r="B1224" s="30"/>
      <c r="C1224" s="30"/>
      <c r="D1224" s="31"/>
      <c r="E1224" s="35"/>
      <c r="F1224" s="129"/>
    </row>
    <row r="1225" spans="2:6" s="7" customFormat="1" ht="13.5">
      <c r="B1225" s="30"/>
      <c r="C1225" s="30"/>
      <c r="D1225" s="31"/>
      <c r="E1225" s="35"/>
      <c r="F1225" s="129"/>
    </row>
    <row r="1226" spans="2:6" s="7" customFormat="1" ht="13.5">
      <c r="B1226" s="30"/>
      <c r="C1226" s="30"/>
      <c r="D1226" s="31"/>
      <c r="E1226" s="35"/>
      <c r="F1226" s="129"/>
    </row>
    <row r="1227" spans="2:6" s="7" customFormat="1" ht="13.5">
      <c r="B1227" s="30"/>
      <c r="C1227" s="30"/>
      <c r="D1227" s="31"/>
      <c r="E1227" s="35"/>
      <c r="F1227" s="129"/>
    </row>
    <row r="1228" spans="2:6" s="7" customFormat="1" ht="13.5">
      <c r="B1228" s="30"/>
      <c r="C1228" s="30"/>
      <c r="D1228" s="31"/>
      <c r="E1228" s="35"/>
      <c r="F1228" s="129"/>
    </row>
    <row r="1229" spans="2:6" s="7" customFormat="1" ht="13.5">
      <c r="B1229" s="30"/>
      <c r="C1229" s="30"/>
      <c r="D1229" s="31"/>
      <c r="E1229" s="35"/>
      <c r="F1229" s="129"/>
    </row>
    <row r="1230" spans="2:6" s="7" customFormat="1" ht="13.5">
      <c r="B1230" s="30"/>
      <c r="C1230" s="30"/>
      <c r="D1230" s="31"/>
      <c r="E1230" s="35"/>
      <c r="F1230" s="129"/>
    </row>
    <row r="1231" spans="2:6" s="7" customFormat="1" ht="13.5">
      <c r="B1231" s="30"/>
      <c r="C1231" s="30"/>
      <c r="D1231" s="31"/>
      <c r="E1231" s="35"/>
      <c r="F1231" s="129"/>
    </row>
    <row r="1232" spans="2:6" s="7" customFormat="1" ht="13.5">
      <c r="B1232" s="30"/>
      <c r="C1232" s="30"/>
      <c r="D1232" s="31"/>
      <c r="E1232" s="35"/>
      <c r="F1232" s="129"/>
    </row>
    <row r="1233" spans="2:6" s="7" customFormat="1" ht="13.5">
      <c r="B1233" s="30"/>
      <c r="C1233" s="30"/>
      <c r="D1233" s="31"/>
      <c r="E1233" s="35"/>
      <c r="F1233" s="129"/>
    </row>
    <row r="1234" spans="2:6" s="7" customFormat="1" ht="13.5">
      <c r="B1234" s="30"/>
      <c r="C1234" s="30"/>
      <c r="D1234" s="31"/>
      <c r="E1234" s="35"/>
      <c r="F1234" s="129"/>
    </row>
    <row r="1235" spans="2:6" s="7" customFormat="1" ht="13.5">
      <c r="B1235" s="30"/>
      <c r="C1235" s="30"/>
      <c r="D1235" s="31"/>
      <c r="E1235" s="35"/>
      <c r="F1235" s="129"/>
    </row>
    <row r="1236" spans="2:6" s="7" customFormat="1" ht="13.5">
      <c r="B1236" s="30"/>
      <c r="C1236" s="30"/>
      <c r="D1236" s="31"/>
      <c r="E1236" s="35"/>
      <c r="F1236" s="129"/>
    </row>
    <row r="1237" spans="2:6" s="7" customFormat="1" ht="13.5">
      <c r="B1237" s="30"/>
      <c r="C1237" s="30"/>
      <c r="D1237" s="31"/>
      <c r="E1237" s="35"/>
      <c r="F1237" s="129"/>
    </row>
    <row r="1238" spans="2:6" s="7" customFormat="1" ht="13.5">
      <c r="B1238" s="30"/>
      <c r="C1238" s="30"/>
      <c r="D1238" s="31"/>
      <c r="E1238" s="35"/>
      <c r="F1238" s="129"/>
    </row>
    <row r="1239" spans="2:6" s="7" customFormat="1" ht="13.5">
      <c r="B1239" s="30"/>
      <c r="C1239" s="30"/>
      <c r="D1239" s="31"/>
      <c r="E1239" s="35"/>
      <c r="F1239" s="129"/>
    </row>
    <row r="1240" spans="2:6" s="7" customFormat="1" ht="13.5">
      <c r="B1240" s="30"/>
      <c r="C1240" s="30"/>
      <c r="D1240" s="31"/>
      <c r="E1240" s="35"/>
      <c r="F1240" s="129"/>
    </row>
    <row r="1241" spans="2:6" s="7" customFormat="1" ht="13.5">
      <c r="B1241" s="30"/>
      <c r="C1241" s="30"/>
      <c r="D1241" s="31"/>
      <c r="E1241" s="35"/>
      <c r="F1241" s="129"/>
    </row>
    <row r="1242" spans="2:6" s="7" customFormat="1" ht="13.5">
      <c r="B1242" s="30"/>
      <c r="C1242" s="30"/>
      <c r="D1242" s="31"/>
      <c r="E1242" s="35"/>
      <c r="F1242" s="129"/>
    </row>
    <row r="1243" spans="2:6" s="7" customFormat="1" ht="13.5">
      <c r="B1243" s="30"/>
      <c r="C1243" s="30"/>
      <c r="D1243" s="31"/>
      <c r="E1243" s="35"/>
      <c r="F1243" s="129"/>
    </row>
    <row r="1244" spans="2:6" s="7" customFormat="1" ht="13.5">
      <c r="B1244" s="30"/>
      <c r="C1244" s="30"/>
      <c r="D1244" s="31"/>
      <c r="E1244" s="35"/>
      <c r="F1244" s="129"/>
    </row>
    <row r="1245" spans="2:6" s="7" customFormat="1" ht="13.5">
      <c r="B1245" s="30"/>
      <c r="C1245" s="30"/>
      <c r="D1245" s="31"/>
      <c r="E1245" s="35"/>
      <c r="F1245" s="129"/>
    </row>
    <row r="1246" spans="2:6" s="7" customFormat="1" ht="13.5">
      <c r="B1246" s="30"/>
      <c r="C1246" s="30"/>
      <c r="D1246" s="31"/>
      <c r="E1246" s="35"/>
      <c r="F1246" s="129"/>
    </row>
    <row r="1247" spans="2:6" s="7" customFormat="1" ht="13.5">
      <c r="B1247" s="30"/>
      <c r="C1247" s="30"/>
      <c r="D1247" s="31"/>
      <c r="E1247" s="35"/>
      <c r="F1247" s="129"/>
    </row>
    <row r="1248" spans="2:6" s="7" customFormat="1" ht="13.5">
      <c r="B1248" s="30"/>
      <c r="C1248" s="30"/>
      <c r="D1248" s="31"/>
      <c r="E1248" s="35"/>
      <c r="F1248" s="129"/>
    </row>
    <row r="1249" spans="2:6" s="7" customFormat="1" ht="13.5">
      <c r="B1249" s="30"/>
      <c r="C1249" s="30"/>
      <c r="D1249" s="31"/>
      <c r="E1249" s="35"/>
      <c r="F1249" s="129"/>
    </row>
    <row r="1250" spans="2:6" s="7" customFormat="1" ht="13.5">
      <c r="B1250" s="30"/>
      <c r="C1250" s="30"/>
      <c r="D1250" s="31"/>
      <c r="E1250" s="35"/>
      <c r="F1250" s="129"/>
    </row>
    <row r="1251" spans="2:6" s="7" customFormat="1" ht="13.5">
      <c r="B1251" s="30"/>
      <c r="C1251" s="30"/>
      <c r="D1251" s="31"/>
      <c r="E1251" s="35"/>
      <c r="F1251" s="129"/>
    </row>
    <row r="1252" spans="2:6" s="7" customFormat="1" ht="13.5">
      <c r="B1252" s="30"/>
      <c r="C1252" s="30"/>
      <c r="D1252" s="31"/>
      <c r="E1252" s="35"/>
      <c r="F1252" s="129"/>
    </row>
    <row r="1253" spans="2:6" s="7" customFormat="1" ht="13.5">
      <c r="B1253" s="30"/>
      <c r="C1253" s="30"/>
      <c r="D1253" s="31"/>
      <c r="E1253" s="35"/>
      <c r="F1253" s="129"/>
    </row>
    <row r="1254" spans="2:6" s="7" customFormat="1" ht="13.5">
      <c r="B1254" s="30"/>
      <c r="C1254" s="30"/>
      <c r="D1254" s="31"/>
      <c r="E1254" s="35"/>
      <c r="F1254" s="129"/>
    </row>
    <row r="1255" spans="2:6" s="7" customFormat="1" ht="13.5">
      <c r="B1255" s="30"/>
      <c r="C1255" s="30"/>
      <c r="D1255" s="31"/>
      <c r="E1255" s="35"/>
      <c r="F1255" s="129"/>
    </row>
    <row r="1256" spans="2:6" s="7" customFormat="1" ht="13.5">
      <c r="B1256" s="30"/>
      <c r="C1256" s="30"/>
      <c r="D1256" s="31"/>
      <c r="E1256" s="35"/>
      <c r="F1256" s="129"/>
    </row>
    <row r="1257" spans="2:6" s="7" customFormat="1" ht="13.5">
      <c r="B1257" s="30"/>
      <c r="C1257" s="30"/>
      <c r="D1257" s="31"/>
      <c r="E1257" s="35"/>
      <c r="F1257" s="129"/>
    </row>
    <row r="1258" spans="2:6" s="7" customFormat="1" ht="13.5">
      <c r="B1258" s="30"/>
      <c r="C1258" s="30"/>
      <c r="D1258" s="31"/>
      <c r="E1258" s="35"/>
      <c r="F1258" s="129"/>
    </row>
    <row r="1259" spans="2:6" s="7" customFormat="1" ht="13.5">
      <c r="B1259" s="30"/>
      <c r="C1259" s="30"/>
      <c r="D1259" s="31"/>
      <c r="E1259" s="35"/>
      <c r="F1259" s="129"/>
    </row>
    <row r="1260" spans="2:6" s="7" customFormat="1" ht="13.5">
      <c r="B1260" s="30"/>
      <c r="C1260" s="30"/>
      <c r="D1260" s="31"/>
      <c r="E1260" s="35"/>
      <c r="F1260" s="129"/>
    </row>
    <row r="1261" spans="2:6" s="7" customFormat="1" ht="13.5">
      <c r="B1261" s="30"/>
      <c r="C1261" s="30"/>
      <c r="D1261" s="31"/>
      <c r="E1261" s="35"/>
      <c r="F1261" s="129"/>
    </row>
    <row r="1262" spans="2:6" s="7" customFormat="1" ht="13.5">
      <c r="B1262" s="30"/>
      <c r="C1262" s="30"/>
      <c r="D1262" s="31"/>
      <c r="E1262" s="35"/>
      <c r="F1262" s="129"/>
    </row>
    <row r="1263" spans="2:6" s="7" customFormat="1" ht="13.5">
      <c r="B1263" s="30"/>
      <c r="C1263" s="30"/>
      <c r="D1263" s="31"/>
      <c r="E1263" s="35"/>
      <c r="F1263" s="129"/>
    </row>
    <row r="1264" spans="2:6" s="7" customFormat="1" ht="13.5">
      <c r="B1264" s="30"/>
      <c r="C1264" s="30"/>
      <c r="D1264" s="31"/>
      <c r="E1264" s="35"/>
      <c r="F1264" s="129"/>
    </row>
    <row r="1265" spans="2:6" s="7" customFormat="1" ht="13.5">
      <c r="B1265" s="30"/>
      <c r="C1265" s="30"/>
      <c r="D1265" s="31"/>
      <c r="E1265" s="35"/>
      <c r="F1265" s="129"/>
    </row>
    <row r="1266" spans="2:6" s="7" customFormat="1" ht="13.5">
      <c r="B1266" s="30"/>
      <c r="C1266" s="30"/>
      <c r="D1266" s="31"/>
      <c r="E1266" s="35"/>
      <c r="F1266" s="129"/>
    </row>
    <row r="1267" spans="2:6" s="7" customFormat="1" ht="13.5">
      <c r="B1267" s="30"/>
      <c r="C1267" s="30"/>
      <c r="D1267" s="31"/>
      <c r="E1267" s="35"/>
      <c r="F1267" s="129"/>
    </row>
    <row r="1268" spans="2:6" s="7" customFormat="1" ht="13.5">
      <c r="B1268" s="30"/>
      <c r="C1268" s="30"/>
      <c r="D1268" s="31"/>
      <c r="E1268" s="35"/>
      <c r="F1268" s="129"/>
    </row>
    <row r="1269" spans="2:6" s="7" customFormat="1" ht="13.5">
      <c r="B1269" s="30"/>
      <c r="C1269" s="30"/>
      <c r="D1269" s="31"/>
      <c r="E1269" s="35"/>
      <c r="F1269" s="129"/>
    </row>
    <row r="1270" spans="2:6" s="7" customFormat="1" ht="13.5">
      <c r="B1270" s="30"/>
      <c r="C1270" s="30"/>
      <c r="D1270" s="31"/>
      <c r="E1270" s="35"/>
      <c r="F1270" s="129"/>
    </row>
    <row r="1271" spans="2:6" s="7" customFormat="1" ht="13.5">
      <c r="B1271" s="30"/>
      <c r="C1271" s="30"/>
      <c r="D1271" s="31"/>
      <c r="E1271" s="35"/>
      <c r="F1271" s="129"/>
    </row>
    <row r="1272" spans="2:6" s="7" customFormat="1" ht="13.5">
      <c r="B1272" s="30"/>
      <c r="C1272" s="30"/>
      <c r="D1272" s="31"/>
      <c r="E1272" s="35"/>
      <c r="F1272" s="129"/>
    </row>
    <row r="1273" spans="2:6" s="7" customFormat="1" ht="13.5">
      <c r="B1273" s="30"/>
      <c r="C1273" s="30"/>
      <c r="D1273" s="31"/>
      <c r="E1273" s="35"/>
      <c r="F1273" s="129"/>
    </row>
    <row r="1274" spans="2:6" s="7" customFormat="1" ht="13.5">
      <c r="B1274" s="30"/>
      <c r="C1274" s="30"/>
      <c r="D1274" s="31"/>
      <c r="E1274" s="35"/>
      <c r="F1274" s="129"/>
    </row>
    <row r="1275" spans="2:6" s="7" customFormat="1" ht="13.5">
      <c r="B1275" s="30"/>
      <c r="C1275" s="30"/>
      <c r="D1275" s="31"/>
      <c r="E1275" s="35"/>
      <c r="F1275" s="129"/>
    </row>
    <row r="1276" spans="2:6" s="7" customFormat="1" ht="13.5">
      <c r="B1276" s="30"/>
      <c r="C1276" s="30"/>
      <c r="D1276" s="31"/>
      <c r="E1276" s="35"/>
      <c r="F1276" s="129"/>
    </row>
    <row r="1277" spans="2:6" s="7" customFormat="1" ht="13.5">
      <c r="B1277" s="30"/>
      <c r="C1277" s="30"/>
      <c r="D1277" s="31"/>
      <c r="E1277" s="35"/>
      <c r="F1277" s="129"/>
    </row>
    <row r="1278" spans="2:6" s="7" customFormat="1" ht="13.5">
      <c r="B1278" s="30"/>
      <c r="C1278" s="30"/>
      <c r="D1278" s="31"/>
      <c r="E1278" s="35"/>
      <c r="F1278" s="129"/>
    </row>
    <row r="1279" spans="2:6" s="7" customFormat="1" ht="13.5">
      <c r="B1279" s="30"/>
      <c r="C1279" s="30"/>
      <c r="D1279" s="31"/>
      <c r="E1279" s="35"/>
      <c r="F1279" s="129"/>
    </row>
    <row r="1280" spans="2:6" s="7" customFormat="1" ht="13.5">
      <c r="B1280" s="30"/>
      <c r="C1280" s="30"/>
      <c r="D1280" s="31"/>
      <c r="E1280" s="35"/>
      <c r="F1280" s="129"/>
    </row>
    <row r="1281" spans="2:6" s="7" customFormat="1" ht="13.5">
      <c r="B1281" s="30"/>
      <c r="C1281" s="30"/>
      <c r="D1281" s="31"/>
      <c r="E1281" s="35"/>
      <c r="F1281" s="129"/>
    </row>
    <row r="1282" spans="2:6" s="7" customFormat="1" ht="13.5">
      <c r="B1282" s="30"/>
      <c r="C1282" s="30"/>
      <c r="D1282" s="31"/>
      <c r="E1282" s="35"/>
      <c r="F1282" s="129"/>
    </row>
    <row r="1283" spans="2:6" s="7" customFormat="1" ht="13.5">
      <c r="B1283" s="30"/>
      <c r="C1283" s="30"/>
      <c r="D1283" s="31"/>
      <c r="E1283" s="35"/>
      <c r="F1283" s="129"/>
    </row>
    <row r="1284" spans="2:6" s="7" customFormat="1" ht="13.5">
      <c r="B1284" s="30"/>
      <c r="C1284" s="30"/>
      <c r="D1284" s="31"/>
      <c r="E1284" s="35"/>
      <c r="F1284" s="129"/>
    </row>
    <row r="1285" spans="2:6" s="7" customFormat="1" ht="13.5">
      <c r="B1285" s="30"/>
      <c r="C1285" s="30"/>
      <c r="D1285" s="31"/>
      <c r="E1285" s="35"/>
      <c r="F1285" s="129"/>
    </row>
    <row r="1286" spans="2:6" s="7" customFormat="1" ht="13.5">
      <c r="B1286" s="30"/>
      <c r="C1286" s="30"/>
      <c r="D1286" s="31"/>
      <c r="E1286" s="35"/>
      <c r="F1286" s="129"/>
    </row>
    <row r="1287" spans="2:6" s="7" customFormat="1" ht="13.5">
      <c r="B1287" s="30"/>
      <c r="C1287" s="30"/>
      <c r="D1287" s="31"/>
      <c r="E1287" s="35"/>
      <c r="F1287" s="129"/>
    </row>
    <row r="1288" spans="2:6" s="7" customFormat="1" ht="13.5">
      <c r="B1288" s="30"/>
      <c r="C1288" s="30"/>
      <c r="D1288" s="31"/>
      <c r="E1288" s="35"/>
      <c r="F1288" s="129"/>
    </row>
    <row r="1289" spans="2:6" s="7" customFormat="1" ht="13.5">
      <c r="B1289" s="30"/>
      <c r="C1289" s="30"/>
      <c r="D1289" s="31"/>
      <c r="E1289" s="35"/>
      <c r="F1289" s="129"/>
    </row>
    <row r="1290" spans="2:6" s="7" customFormat="1" ht="13.5">
      <c r="B1290" s="30"/>
      <c r="C1290" s="30"/>
      <c r="D1290" s="31"/>
      <c r="E1290" s="35"/>
      <c r="F1290" s="129"/>
    </row>
    <row r="1291" spans="2:6" s="7" customFormat="1" ht="13.5">
      <c r="B1291" s="30"/>
      <c r="C1291" s="30"/>
      <c r="D1291" s="31"/>
      <c r="E1291" s="35"/>
      <c r="F1291" s="129"/>
    </row>
    <row r="1292" spans="2:6" s="7" customFormat="1" ht="13.5">
      <c r="B1292" s="30"/>
      <c r="C1292" s="30"/>
      <c r="D1292" s="31"/>
      <c r="E1292" s="35"/>
      <c r="F1292" s="129"/>
    </row>
    <row r="1293" spans="2:6" s="7" customFormat="1" ht="13.5">
      <c r="B1293" s="30"/>
      <c r="C1293" s="30"/>
      <c r="D1293" s="31"/>
      <c r="E1293" s="35"/>
      <c r="F1293" s="129"/>
    </row>
    <row r="1294" spans="2:6" s="7" customFormat="1" ht="13.5">
      <c r="B1294" s="30"/>
      <c r="C1294" s="30"/>
      <c r="D1294" s="31"/>
      <c r="E1294" s="35"/>
      <c r="F1294" s="129"/>
    </row>
    <row r="1295" spans="2:6" s="7" customFormat="1" ht="13.5">
      <c r="B1295" s="30"/>
      <c r="C1295" s="30"/>
      <c r="D1295" s="31"/>
      <c r="E1295" s="35"/>
      <c r="F1295" s="129"/>
    </row>
    <row r="1296" spans="2:6" s="7" customFormat="1" ht="13.5">
      <c r="B1296" s="30"/>
      <c r="C1296" s="30"/>
      <c r="D1296" s="31"/>
      <c r="E1296" s="35"/>
      <c r="F1296" s="129"/>
    </row>
    <row r="1297" spans="2:6" s="7" customFormat="1" ht="13.5">
      <c r="B1297" s="30"/>
      <c r="C1297" s="30"/>
      <c r="D1297" s="31"/>
      <c r="E1297" s="35"/>
      <c r="F1297" s="129"/>
    </row>
    <row r="1298" spans="2:6" s="7" customFormat="1" ht="13.5">
      <c r="B1298" s="30"/>
      <c r="C1298" s="30"/>
      <c r="D1298" s="31"/>
      <c r="E1298" s="35"/>
      <c r="F1298" s="129"/>
    </row>
    <row r="1299" spans="2:6" s="7" customFormat="1" ht="13.5">
      <c r="B1299" s="30"/>
      <c r="C1299" s="30"/>
      <c r="D1299" s="31"/>
      <c r="E1299" s="35"/>
      <c r="F1299" s="129"/>
    </row>
    <row r="1300" spans="2:6" s="7" customFormat="1" ht="13.5">
      <c r="B1300" s="30"/>
      <c r="C1300" s="30"/>
      <c r="D1300" s="31"/>
      <c r="E1300" s="35"/>
      <c r="F1300" s="129"/>
    </row>
    <row r="1301" spans="2:6" s="7" customFormat="1" ht="13.5">
      <c r="B1301" s="30"/>
      <c r="C1301" s="30"/>
      <c r="D1301" s="31"/>
      <c r="E1301" s="35"/>
      <c r="F1301" s="129"/>
    </row>
    <row r="1302" spans="2:6" s="7" customFormat="1" ht="13.5">
      <c r="B1302" s="30"/>
      <c r="C1302" s="30"/>
      <c r="D1302" s="31"/>
      <c r="E1302" s="35"/>
      <c r="F1302" s="129"/>
    </row>
    <row r="1303" spans="2:6" s="7" customFormat="1" ht="13.5">
      <c r="B1303" s="30"/>
      <c r="C1303" s="30"/>
      <c r="D1303" s="31"/>
      <c r="E1303" s="35"/>
      <c r="F1303" s="129"/>
    </row>
    <row r="1304" spans="2:6" s="7" customFormat="1" ht="13.5">
      <c r="B1304" s="30"/>
      <c r="C1304" s="30"/>
      <c r="D1304" s="31"/>
      <c r="E1304" s="35"/>
      <c r="F1304" s="129"/>
    </row>
    <row r="1305" spans="2:6" s="7" customFormat="1" ht="13.5">
      <c r="B1305" s="30"/>
      <c r="C1305" s="30"/>
      <c r="D1305" s="31"/>
      <c r="E1305" s="35"/>
      <c r="F1305" s="129"/>
    </row>
    <row r="1306" spans="2:6" s="7" customFormat="1" ht="13.5">
      <c r="B1306" s="30"/>
      <c r="C1306" s="30"/>
      <c r="D1306" s="31"/>
      <c r="E1306" s="35"/>
      <c r="F1306" s="129"/>
    </row>
    <row r="1307" spans="2:6" s="7" customFormat="1" ht="13.5">
      <c r="B1307" s="30"/>
      <c r="C1307" s="30"/>
      <c r="D1307" s="31"/>
      <c r="E1307" s="35"/>
      <c r="F1307" s="129"/>
    </row>
    <row r="1308" spans="2:6" s="7" customFormat="1" ht="13.5">
      <c r="B1308" s="30"/>
      <c r="C1308" s="30"/>
      <c r="D1308" s="31"/>
      <c r="E1308" s="35"/>
      <c r="F1308" s="129"/>
    </row>
    <row r="1309" spans="2:6" s="7" customFormat="1" ht="13.5">
      <c r="B1309" s="30"/>
      <c r="C1309" s="30"/>
      <c r="D1309" s="31"/>
      <c r="E1309" s="35"/>
      <c r="F1309" s="129"/>
    </row>
    <row r="1310" spans="2:6" s="7" customFormat="1" ht="13.5">
      <c r="B1310" s="30"/>
      <c r="C1310" s="30"/>
      <c r="D1310" s="31"/>
      <c r="E1310" s="35"/>
      <c r="F1310" s="129"/>
    </row>
    <row r="1311" spans="2:6" s="7" customFormat="1" ht="13.5">
      <c r="B1311" s="30"/>
      <c r="C1311" s="30"/>
      <c r="D1311" s="31"/>
      <c r="E1311" s="35"/>
      <c r="F1311" s="129"/>
    </row>
    <row r="1312" spans="2:6" s="7" customFormat="1" ht="13.5">
      <c r="B1312" s="30"/>
      <c r="C1312" s="30"/>
      <c r="D1312" s="31"/>
      <c r="E1312" s="35"/>
      <c r="F1312" s="129"/>
    </row>
    <row r="1313" spans="2:6" s="7" customFormat="1" ht="13.5">
      <c r="B1313" s="30"/>
      <c r="C1313" s="30"/>
      <c r="D1313" s="31"/>
      <c r="E1313" s="35"/>
      <c r="F1313" s="129"/>
    </row>
    <row r="1314" spans="2:6" s="7" customFormat="1" ht="13.5">
      <c r="B1314" s="30"/>
      <c r="C1314" s="30"/>
      <c r="D1314" s="31"/>
      <c r="E1314" s="35"/>
      <c r="F1314" s="129"/>
    </row>
    <row r="1315" spans="2:6" s="7" customFormat="1" ht="13.5">
      <c r="B1315" s="30"/>
      <c r="C1315" s="30"/>
      <c r="D1315" s="31"/>
      <c r="E1315" s="35"/>
      <c r="F1315" s="129"/>
    </row>
    <row r="1316" spans="2:6" s="7" customFormat="1" ht="13.5">
      <c r="B1316" s="30"/>
      <c r="C1316" s="30"/>
      <c r="D1316" s="31"/>
      <c r="E1316" s="35"/>
      <c r="F1316" s="129"/>
    </row>
    <row r="1317" spans="2:6" s="7" customFormat="1" ht="13.5">
      <c r="B1317" s="30"/>
      <c r="C1317" s="30"/>
      <c r="D1317" s="31"/>
      <c r="E1317" s="35"/>
      <c r="F1317" s="129"/>
    </row>
    <row r="1318" spans="2:6" s="7" customFormat="1" ht="13.5">
      <c r="B1318" s="30"/>
      <c r="C1318" s="30"/>
      <c r="D1318" s="31"/>
      <c r="E1318" s="35"/>
      <c r="F1318" s="129"/>
    </row>
    <row r="1319" spans="2:6" s="7" customFormat="1" ht="13.5">
      <c r="B1319" s="30"/>
      <c r="C1319" s="30"/>
      <c r="D1319" s="31"/>
      <c r="E1319" s="35"/>
      <c r="F1319" s="129"/>
    </row>
    <row r="1320" spans="2:6" s="7" customFormat="1" ht="13.5">
      <c r="B1320" s="30"/>
      <c r="C1320" s="30"/>
      <c r="D1320" s="31"/>
      <c r="E1320" s="35"/>
      <c r="F1320" s="129"/>
    </row>
    <row r="1321" spans="2:6" s="7" customFormat="1" ht="13.5">
      <c r="B1321" s="30"/>
      <c r="C1321" s="30"/>
      <c r="D1321" s="31"/>
      <c r="E1321" s="35"/>
      <c r="F1321" s="129"/>
    </row>
    <row r="1322" spans="2:6" s="7" customFormat="1" ht="13.5">
      <c r="B1322" s="30"/>
      <c r="C1322" s="30"/>
      <c r="D1322" s="31"/>
      <c r="E1322" s="35"/>
      <c r="F1322" s="129"/>
    </row>
    <row r="1323" spans="2:6" s="7" customFormat="1" ht="13.5">
      <c r="B1323" s="30"/>
      <c r="C1323" s="30"/>
      <c r="D1323" s="31"/>
      <c r="E1323" s="35"/>
      <c r="F1323" s="129"/>
    </row>
    <row r="1324" spans="2:6" s="7" customFormat="1" ht="13.5">
      <c r="B1324" s="30"/>
      <c r="C1324" s="30"/>
      <c r="D1324" s="31"/>
      <c r="E1324" s="35"/>
      <c r="F1324" s="129"/>
    </row>
    <row r="1325" spans="2:6" s="7" customFormat="1" ht="13.5">
      <c r="B1325" s="30"/>
      <c r="C1325" s="30"/>
      <c r="D1325" s="31"/>
      <c r="E1325" s="35"/>
      <c r="F1325" s="129"/>
    </row>
    <row r="1326" spans="2:6" s="7" customFormat="1" ht="13.5">
      <c r="B1326" s="30"/>
      <c r="C1326" s="30"/>
      <c r="D1326" s="31"/>
      <c r="E1326" s="35"/>
      <c r="F1326" s="129"/>
    </row>
    <row r="1327" spans="2:6" s="7" customFormat="1" ht="13.5">
      <c r="B1327" s="30"/>
      <c r="C1327" s="30"/>
      <c r="D1327" s="31"/>
      <c r="E1327" s="35"/>
      <c r="F1327" s="129"/>
    </row>
    <row r="1328" spans="2:6" s="7" customFormat="1" ht="13.5">
      <c r="B1328" s="30"/>
      <c r="C1328" s="30"/>
      <c r="D1328" s="31"/>
      <c r="E1328" s="35"/>
      <c r="F1328" s="129"/>
    </row>
    <row r="1329" spans="2:6" s="7" customFormat="1" ht="13.5">
      <c r="B1329" s="30"/>
      <c r="C1329" s="30"/>
      <c r="D1329" s="31"/>
      <c r="E1329" s="35"/>
      <c r="F1329" s="129"/>
    </row>
    <row r="1330" spans="2:6" s="7" customFormat="1" ht="13.5">
      <c r="B1330" s="30"/>
      <c r="C1330" s="30"/>
      <c r="D1330" s="31"/>
      <c r="E1330" s="35"/>
      <c r="F1330" s="129"/>
    </row>
    <row r="1331" spans="2:6" s="7" customFormat="1" ht="13.5">
      <c r="B1331" s="30"/>
      <c r="C1331" s="30"/>
      <c r="D1331" s="31"/>
      <c r="E1331" s="35"/>
      <c r="F1331" s="129"/>
    </row>
    <row r="1332" spans="2:6" s="7" customFormat="1" ht="13.5">
      <c r="B1332" s="30"/>
      <c r="C1332" s="30"/>
      <c r="D1332" s="31"/>
      <c r="E1332" s="35"/>
      <c r="F1332" s="129"/>
    </row>
    <row r="1333" spans="2:6" s="7" customFormat="1" ht="13.5">
      <c r="B1333" s="30"/>
      <c r="C1333" s="30"/>
      <c r="D1333" s="31"/>
      <c r="E1333" s="35"/>
      <c r="F1333" s="129"/>
    </row>
    <row r="1334" spans="2:6" s="7" customFormat="1" ht="13.5">
      <c r="B1334" s="30"/>
      <c r="C1334" s="30"/>
      <c r="D1334" s="31"/>
      <c r="E1334" s="35"/>
      <c r="F1334" s="129"/>
    </row>
    <row r="1335" spans="2:6" s="7" customFormat="1" ht="13.5">
      <c r="B1335" s="30"/>
      <c r="C1335" s="30"/>
      <c r="D1335" s="31"/>
      <c r="E1335" s="35"/>
      <c r="F1335" s="129"/>
    </row>
    <row r="1336" spans="2:6" s="7" customFormat="1" ht="13.5">
      <c r="B1336" s="30"/>
      <c r="C1336" s="30"/>
      <c r="D1336" s="31"/>
      <c r="E1336" s="35"/>
      <c r="F1336" s="129"/>
    </row>
    <row r="1337" spans="2:6" s="7" customFormat="1" ht="13.5">
      <c r="B1337" s="30"/>
      <c r="C1337" s="30"/>
      <c r="D1337" s="31"/>
      <c r="E1337" s="35"/>
      <c r="F1337" s="129"/>
    </row>
    <row r="1338" spans="2:6" s="7" customFormat="1" ht="13.5">
      <c r="B1338" s="30"/>
      <c r="C1338" s="30"/>
      <c r="D1338" s="31"/>
      <c r="E1338" s="35"/>
      <c r="F1338" s="129"/>
    </row>
    <row r="1339" spans="2:6" s="7" customFormat="1" ht="13.5">
      <c r="B1339" s="30"/>
      <c r="C1339" s="30"/>
      <c r="D1339" s="31"/>
      <c r="E1339" s="35"/>
      <c r="F1339" s="129"/>
    </row>
    <row r="1340" spans="2:6" s="7" customFormat="1" ht="13.5">
      <c r="B1340" s="30"/>
      <c r="C1340" s="30"/>
      <c r="D1340" s="31"/>
      <c r="E1340" s="35"/>
      <c r="F1340" s="129"/>
    </row>
    <row r="1341" spans="2:6" s="7" customFormat="1" ht="13.5">
      <c r="B1341" s="30"/>
      <c r="C1341" s="30"/>
      <c r="D1341" s="31"/>
      <c r="E1341" s="35"/>
      <c r="F1341" s="129"/>
    </row>
    <row r="1342" spans="2:6" s="7" customFormat="1" ht="13.5">
      <c r="B1342" s="30"/>
      <c r="C1342" s="30"/>
      <c r="D1342" s="31"/>
      <c r="E1342" s="35"/>
      <c r="F1342" s="129"/>
    </row>
    <row r="1343" spans="2:6" s="7" customFormat="1" ht="13.5">
      <c r="B1343" s="30"/>
      <c r="C1343" s="30"/>
      <c r="D1343" s="31"/>
      <c r="E1343" s="35"/>
      <c r="F1343" s="129"/>
    </row>
    <row r="1344" spans="2:6" s="7" customFormat="1" ht="13.5">
      <c r="B1344" s="30"/>
      <c r="C1344" s="30"/>
      <c r="D1344" s="31"/>
      <c r="E1344" s="35"/>
      <c r="F1344" s="129"/>
    </row>
    <row r="1345" spans="2:6" s="7" customFormat="1" ht="13.5">
      <c r="B1345" s="30"/>
      <c r="C1345" s="30"/>
      <c r="D1345" s="31"/>
      <c r="E1345" s="35"/>
      <c r="F1345" s="129"/>
    </row>
    <row r="1346" spans="2:6" s="7" customFormat="1" ht="13.5">
      <c r="B1346" s="30"/>
      <c r="C1346" s="30"/>
      <c r="D1346" s="31"/>
      <c r="E1346" s="35"/>
      <c r="F1346" s="129"/>
    </row>
    <row r="1347" spans="2:6" s="7" customFormat="1" ht="13.5">
      <c r="B1347" s="30"/>
      <c r="C1347" s="30"/>
      <c r="D1347" s="31"/>
      <c r="E1347" s="35"/>
      <c r="F1347" s="129"/>
    </row>
    <row r="1348" spans="2:6" s="7" customFormat="1" ht="13.5">
      <c r="B1348" s="30"/>
      <c r="C1348" s="30"/>
      <c r="D1348" s="31"/>
      <c r="E1348" s="35"/>
      <c r="F1348" s="129"/>
    </row>
    <row r="1349" spans="2:6" s="7" customFormat="1" ht="13.5">
      <c r="B1349" s="30"/>
      <c r="C1349" s="30"/>
      <c r="D1349" s="31"/>
      <c r="E1349" s="35"/>
      <c r="F1349" s="129"/>
    </row>
    <row r="1350" spans="2:6" s="7" customFormat="1" ht="13.5">
      <c r="B1350" s="30"/>
      <c r="C1350" s="30"/>
      <c r="D1350" s="31"/>
      <c r="E1350" s="35"/>
      <c r="F1350" s="129"/>
    </row>
    <row r="1351" spans="2:6" s="7" customFormat="1" ht="13.5">
      <c r="B1351" s="30"/>
      <c r="C1351" s="30"/>
      <c r="D1351" s="31"/>
      <c r="E1351" s="35"/>
      <c r="F1351" s="129"/>
    </row>
    <row r="1352" spans="2:6" s="7" customFormat="1" ht="13.5">
      <c r="B1352" s="30"/>
      <c r="C1352" s="30"/>
      <c r="D1352" s="31"/>
      <c r="E1352" s="35"/>
      <c r="F1352" s="129"/>
    </row>
    <row r="1353" spans="2:6" s="7" customFormat="1" ht="13.5">
      <c r="B1353" s="30"/>
      <c r="C1353" s="30"/>
      <c r="D1353" s="31"/>
      <c r="E1353" s="35"/>
      <c r="F1353" s="129"/>
    </row>
    <row r="1354" spans="2:6" s="7" customFormat="1" ht="13.5">
      <c r="B1354" s="30"/>
      <c r="C1354" s="30"/>
      <c r="D1354" s="31"/>
      <c r="E1354" s="35"/>
      <c r="F1354" s="129"/>
    </row>
    <row r="1355" spans="2:6" s="7" customFormat="1" ht="13.5">
      <c r="B1355" s="30"/>
      <c r="C1355" s="30"/>
      <c r="D1355" s="31"/>
      <c r="E1355" s="35"/>
      <c r="F1355" s="129"/>
    </row>
    <row r="1356" spans="2:6" s="7" customFormat="1" ht="13.5">
      <c r="B1356" s="30"/>
      <c r="C1356" s="30"/>
      <c r="D1356" s="31"/>
      <c r="E1356" s="35"/>
      <c r="F1356" s="129"/>
    </row>
    <row r="1357" spans="2:6" s="7" customFormat="1" ht="13.5">
      <c r="B1357" s="30"/>
      <c r="C1357" s="30"/>
      <c r="D1357" s="31"/>
      <c r="E1357" s="35"/>
      <c r="F1357" s="129"/>
    </row>
    <row r="1358" spans="2:6" s="7" customFormat="1" ht="13.5">
      <c r="B1358" s="30"/>
      <c r="C1358" s="30"/>
      <c r="D1358" s="31"/>
      <c r="E1358" s="35"/>
      <c r="F1358" s="129"/>
    </row>
    <row r="1359" spans="2:6" s="7" customFormat="1" ht="13.5">
      <c r="B1359" s="30"/>
      <c r="C1359" s="30"/>
      <c r="D1359" s="31"/>
      <c r="E1359" s="35"/>
      <c r="F1359" s="129"/>
    </row>
    <row r="1360" spans="2:6" s="7" customFormat="1" ht="13.5">
      <c r="B1360" s="30"/>
      <c r="C1360" s="30"/>
      <c r="D1360" s="31"/>
      <c r="E1360" s="35"/>
      <c r="F1360" s="129"/>
    </row>
    <row r="1361" spans="2:6" s="7" customFormat="1" ht="13.5">
      <c r="B1361" s="30"/>
      <c r="C1361" s="30"/>
      <c r="D1361" s="31"/>
      <c r="E1361" s="35"/>
      <c r="F1361" s="129"/>
    </row>
    <row r="1362" spans="2:6" s="7" customFormat="1" ht="13.5">
      <c r="B1362" s="30"/>
      <c r="C1362" s="30"/>
      <c r="D1362" s="31"/>
      <c r="E1362" s="35"/>
      <c r="F1362" s="129"/>
    </row>
    <row r="1363" spans="2:6" s="7" customFormat="1" ht="13.5">
      <c r="B1363" s="30"/>
      <c r="C1363" s="30"/>
      <c r="D1363" s="31"/>
      <c r="E1363" s="35"/>
      <c r="F1363" s="129"/>
    </row>
    <row r="1364" spans="2:6" s="7" customFormat="1" ht="13.5">
      <c r="B1364" s="30"/>
      <c r="C1364" s="30"/>
      <c r="D1364" s="31"/>
      <c r="E1364" s="35"/>
      <c r="F1364" s="129"/>
    </row>
    <row r="1365" spans="2:6" s="7" customFormat="1" ht="13.5">
      <c r="B1365" s="30"/>
      <c r="C1365" s="30"/>
      <c r="D1365" s="31"/>
      <c r="E1365" s="35"/>
      <c r="F1365" s="129"/>
    </row>
    <row r="1366" spans="2:6" s="7" customFormat="1" ht="13.5">
      <c r="B1366" s="30"/>
      <c r="C1366" s="30"/>
      <c r="D1366" s="31"/>
      <c r="E1366" s="35"/>
      <c r="F1366" s="129"/>
    </row>
    <row r="1367" spans="2:6" s="7" customFormat="1" ht="13.5">
      <c r="B1367" s="30"/>
      <c r="C1367" s="30"/>
      <c r="D1367" s="31"/>
      <c r="E1367" s="35"/>
      <c r="F1367" s="129"/>
    </row>
    <row r="1368" spans="2:6" s="7" customFormat="1" ht="13.5">
      <c r="B1368" s="30"/>
      <c r="C1368" s="30"/>
      <c r="D1368" s="31"/>
      <c r="E1368" s="35"/>
      <c r="F1368" s="129"/>
    </row>
    <row r="1369" spans="2:6" s="7" customFormat="1" ht="13.5">
      <c r="B1369" s="30"/>
      <c r="C1369" s="30"/>
      <c r="D1369" s="31"/>
      <c r="E1369" s="35"/>
      <c r="F1369" s="129"/>
    </row>
    <row r="1370" spans="2:6" s="7" customFormat="1" ht="13.5">
      <c r="B1370" s="30"/>
      <c r="C1370" s="30"/>
      <c r="D1370" s="31"/>
      <c r="E1370" s="35"/>
      <c r="F1370" s="129"/>
    </row>
    <row r="1371" spans="2:6" s="7" customFormat="1" ht="13.5">
      <c r="B1371" s="30"/>
      <c r="C1371" s="30"/>
      <c r="D1371" s="31"/>
      <c r="E1371" s="35"/>
      <c r="F1371" s="129"/>
    </row>
    <row r="1372" spans="2:6" s="7" customFormat="1" ht="13.5">
      <c r="B1372" s="30"/>
      <c r="C1372" s="30"/>
      <c r="D1372" s="31"/>
      <c r="E1372" s="35"/>
      <c r="F1372" s="129"/>
    </row>
    <row r="1373" spans="2:6" s="7" customFormat="1" ht="13.5">
      <c r="B1373" s="30"/>
      <c r="C1373" s="30"/>
      <c r="D1373" s="31"/>
      <c r="E1373" s="35"/>
      <c r="F1373" s="129"/>
    </row>
    <row r="1374" spans="2:6" s="7" customFormat="1" ht="13.5">
      <c r="B1374" s="30"/>
      <c r="C1374" s="30"/>
      <c r="D1374" s="31"/>
      <c r="E1374" s="35"/>
      <c r="F1374" s="129"/>
    </row>
    <row r="1375" spans="2:6" s="7" customFormat="1" ht="13.5">
      <c r="B1375" s="30"/>
      <c r="C1375" s="30"/>
      <c r="D1375" s="31"/>
      <c r="E1375" s="35"/>
      <c r="F1375" s="129"/>
    </row>
    <row r="1376" spans="2:6" s="7" customFormat="1" ht="13.5">
      <c r="B1376" s="30"/>
      <c r="C1376" s="30"/>
      <c r="D1376" s="31"/>
      <c r="E1376" s="35"/>
      <c r="F1376" s="129"/>
    </row>
    <row r="1377" spans="2:6" s="7" customFormat="1" ht="13.5">
      <c r="B1377" s="30"/>
      <c r="C1377" s="30"/>
      <c r="D1377" s="31"/>
      <c r="E1377" s="35"/>
      <c r="F1377" s="129"/>
    </row>
    <row r="1378" spans="2:6" s="7" customFormat="1" ht="13.5">
      <c r="B1378" s="30"/>
      <c r="C1378" s="30"/>
      <c r="D1378" s="31"/>
      <c r="E1378" s="35"/>
      <c r="F1378" s="129"/>
    </row>
    <row r="1379" spans="2:6" s="7" customFormat="1" ht="13.5">
      <c r="B1379" s="30"/>
      <c r="C1379" s="30"/>
      <c r="D1379" s="31"/>
      <c r="E1379" s="35"/>
      <c r="F1379" s="129"/>
    </row>
    <row r="1380" spans="2:6" s="7" customFormat="1" ht="13.5">
      <c r="B1380" s="30"/>
      <c r="C1380" s="30"/>
      <c r="D1380" s="31"/>
      <c r="E1380" s="35"/>
      <c r="F1380" s="129"/>
    </row>
    <row r="1381" spans="2:6" s="7" customFormat="1" ht="13.5">
      <c r="B1381" s="30"/>
      <c r="C1381" s="30"/>
      <c r="D1381" s="31"/>
      <c r="E1381" s="35"/>
      <c r="F1381" s="129"/>
    </row>
    <row r="1382" spans="2:6" s="7" customFormat="1" ht="13.5">
      <c r="B1382" s="30"/>
      <c r="C1382" s="30"/>
      <c r="D1382" s="31"/>
      <c r="E1382" s="35"/>
      <c r="F1382" s="129"/>
    </row>
    <row r="1383" spans="2:6" s="7" customFormat="1" ht="13.5">
      <c r="B1383" s="30"/>
      <c r="C1383" s="30"/>
      <c r="D1383" s="31"/>
      <c r="E1383" s="35"/>
      <c r="F1383" s="129"/>
    </row>
    <row r="1384" spans="2:6" s="7" customFormat="1" ht="13.5">
      <c r="B1384" s="30"/>
      <c r="C1384" s="30"/>
      <c r="D1384" s="31"/>
      <c r="E1384" s="35"/>
      <c r="F1384" s="129"/>
    </row>
    <row r="1385" spans="2:6" s="7" customFormat="1" ht="13.5">
      <c r="B1385" s="30"/>
      <c r="C1385" s="30"/>
      <c r="D1385" s="31"/>
      <c r="E1385" s="35"/>
      <c r="F1385" s="129"/>
    </row>
    <row r="1386" spans="2:6" s="7" customFormat="1" ht="13.5">
      <c r="B1386" s="30"/>
      <c r="C1386" s="30"/>
      <c r="D1386" s="31"/>
      <c r="E1386" s="35"/>
      <c r="F1386" s="129"/>
    </row>
    <row r="1387" spans="2:6" s="7" customFormat="1" ht="13.5">
      <c r="B1387" s="30"/>
      <c r="C1387" s="30"/>
      <c r="D1387" s="31"/>
      <c r="E1387" s="35"/>
      <c r="F1387" s="129"/>
    </row>
    <row r="1388" spans="2:6" s="7" customFormat="1" ht="13.5">
      <c r="B1388" s="30"/>
      <c r="C1388" s="30"/>
      <c r="D1388" s="31"/>
      <c r="E1388" s="35"/>
      <c r="F1388" s="129"/>
    </row>
    <row r="1389" spans="2:6" s="7" customFormat="1" ht="13.5">
      <c r="B1389" s="30"/>
      <c r="C1389" s="30"/>
      <c r="D1389" s="31"/>
      <c r="E1389" s="35"/>
      <c r="F1389" s="129"/>
    </row>
    <row r="1390" spans="2:6" s="7" customFormat="1" ht="13.5">
      <c r="B1390" s="30"/>
      <c r="C1390" s="30"/>
      <c r="D1390" s="31"/>
      <c r="E1390" s="35"/>
      <c r="F1390" s="129"/>
    </row>
    <row r="1391" spans="2:6" s="7" customFormat="1" ht="13.5">
      <c r="B1391" s="30"/>
      <c r="C1391" s="30"/>
      <c r="D1391" s="31"/>
      <c r="E1391" s="35"/>
      <c r="F1391" s="129"/>
    </row>
    <row r="1392" spans="2:6" s="7" customFormat="1" ht="13.5">
      <c r="B1392" s="30"/>
      <c r="C1392" s="30"/>
      <c r="D1392" s="31"/>
      <c r="E1392" s="35"/>
      <c r="F1392" s="129"/>
    </row>
    <row r="1393" spans="2:6" s="7" customFormat="1" ht="13.5">
      <c r="B1393" s="30"/>
      <c r="C1393" s="30"/>
      <c r="D1393" s="31"/>
      <c r="E1393" s="35"/>
      <c r="F1393" s="129"/>
    </row>
    <row r="1394" spans="2:6" s="7" customFormat="1" ht="13.5">
      <c r="B1394" s="30"/>
      <c r="C1394" s="30"/>
      <c r="D1394" s="31"/>
      <c r="E1394" s="35"/>
      <c r="F1394" s="129"/>
    </row>
    <row r="1395" spans="2:6" s="7" customFormat="1" ht="13.5">
      <c r="B1395" s="30"/>
      <c r="C1395" s="30"/>
      <c r="D1395" s="31"/>
      <c r="E1395" s="35"/>
      <c r="F1395" s="129"/>
    </row>
    <row r="1396" spans="2:6" s="7" customFormat="1" ht="13.5">
      <c r="B1396" s="30"/>
      <c r="C1396" s="30"/>
      <c r="D1396" s="31"/>
      <c r="E1396" s="35"/>
      <c r="F1396" s="129"/>
    </row>
    <row r="1397" spans="2:6" s="7" customFormat="1" ht="13.5">
      <c r="B1397" s="30"/>
      <c r="C1397" s="30"/>
      <c r="D1397" s="31"/>
      <c r="E1397" s="35"/>
      <c r="F1397" s="129"/>
    </row>
    <row r="1398" spans="2:6" s="7" customFormat="1" ht="13.5">
      <c r="B1398" s="30"/>
      <c r="C1398" s="30"/>
      <c r="D1398" s="31"/>
      <c r="E1398" s="35"/>
      <c r="F1398" s="129"/>
    </row>
    <row r="1399" spans="2:6" s="7" customFormat="1" ht="13.5">
      <c r="B1399" s="30"/>
      <c r="C1399" s="30"/>
      <c r="D1399" s="31"/>
      <c r="E1399" s="35"/>
      <c r="F1399" s="129"/>
    </row>
    <row r="1400" spans="2:6" s="7" customFormat="1" ht="13.5">
      <c r="B1400" s="30"/>
      <c r="C1400" s="30"/>
      <c r="D1400" s="31"/>
      <c r="E1400" s="35"/>
      <c r="F1400" s="129"/>
    </row>
    <row r="1401" spans="2:6" s="7" customFormat="1" ht="13.5">
      <c r="B1401" s="30"/>
      <c r="C1401" s="30"/>
      <c r="D1401" s="31"/>
      <c r="E1401" s="35"/>
      <c r="F1401" s="129"/>
    </row>
    <row r="1402" spans="2:6" s="7" customFormat="1" ht="13.5">
      <c r="B1402" s="30"/>
      <c r="C1402" s="30"/>
      <c r="D1402" s="31"/>
      <c r="E1402" s="35"/>
      <c r="F1402" s="129"/>
    </row>
    <row r="1403" spans="2:6" s="7" customFormat="1" ht="13.5">
      <c r="B1403" s="30"/>
      <c r="C1403" s="30"/>
      <c r="D1403" s="31"/>
      <c r="E1403" s="35"/>
      <c r="F1403" s="129"/>
    </row>
    <row r="1404" spans="2:6" s="7" customFormat="1" ht="13.5">
      <c r="B1404" s="30"/>
      <c r="C1404" s="30"/>
      <c r="D1404" s="31"/>
      <c r="E1404" s="35"/>
      <c r="F1404" s="129"/>
    </row>
    <row r="1405" spans="2:6" s="7" customFormat="1" ht="13.5">
      <c r="B1405" s="30"/>
      <c r="C1405" s="30"/>
      <c r="D1405" s="31"/>
      <c r="E1405" s="35"/>
      <c r="F1405" s="129"/>
    </row>
    <row r="1406" spans="2:6" s="7" customFormat="1" ht="13.5">
      <c r="B1406" s="30"/>
      <c r="C1406" s="30"/>
      <c r="D1406" s="31"/>
      <c r="E1406" s="35"/>
      <c r="F1406" s="129"/>
    </row>
    <row r="1407" spans="2:6" s="7" customFormat="1" ht="13.5">
      <c r="B1407" s="30"/>
      <c r="C1407" s="30"/>
      <c r="D1407" s="31"/>
      <c r="E1407" s="35"/>
      <c r="F1407" s="129"/>
    </row>
    <row r="1408" spans="2:6" s="7" customFormat="1" ht="13.5">
      <c r="B1408" s="30"/>
      <c r="C1408" s="30"/>
      <c r="D1408" s="31"/>
      <c r="E1408" s="35"/>
      <c r="F1408" s="129"/>
    </row>
    <row r="1409" spans="2:6" s="7" customFormat="1" ht="13.5">
      <c r="B1409" s="30"/>
      <c r="C1409" s="30"/>
      <c r="D1409" s="31"/>
      <c r="E1409" s="35"/>
      <c r="F1409" s="129"/>
    </row>
    <row r="1410" spans="2:6" s="7" customFormat="1" ht="13.5">
      <c r="B1410" s="30"/>
      <c r="C1410" s="30"/>
      <c r="D1410" s="31"/>
      <c r="E1410" s="35"/>
      <c r="F1410" s="129"/>
    </row>
    <row r="1411" spans="2:6" s="7" customFormat="1" ht="13.5">
      <c r="B1411" s="30"/>
      <c r="C1411" s="30"/>
      <c r="D1411" s="31"/>
      <c r="E1411" s="35"/>
      <c r="F1411" s="129"/>
    </row>
    <row r="1412" spans="2:6" s="7" customFormat="1" ht="13.5">
      <c r="B1412" s="30"/>
      <c r="C1412" s="30"/>
      <c r="D1412" s="31"/>
      <c r="E1412" s="35"/>
      <c r="F1412" s="129"/>
    </row>
    <row r="1413" spans="2:6" s="7" customFormat="1" ht="13.5">
      <c r="B1413" s="30"/>
      <c r="C1413" s="30"/>
      <c r="D1413" s="31"/>
      <c r="E1413" s="35"/>
      <c r="F1413" s="129"/>
    </row>
    <row r="1414" spans="2:6" s="7" customFormat="1" ht="13.5">
      <c r="B1414" s="30"/>
      <c r="C1414" s="30"/>
      <c r="D1414" s="31"/>
      <c r="E1414" s="35"/>
      <c r="F1414" s="129"/>
    </row>
    <row r="1415" spans="2:6" s="7" customFormat="1" ht="13.5">
      <c r="B1415" s="30"/>
      <c r="C1415" s="30"/>
      <c r="D1415" s="31"/>
      <c r="E1415" s="35"/>
      <c r="F1415" s="129"/>
    </row>
    <row r="1416" spans="2:6" s="7" customFormat="1" ht="13.5">
      <c r="B1416" s="30"/>
      <c r="C1416" s="30"/>
      <c r="D1416" s="31"/>
      <c r="E1416" s="35"/>
      <c r="F1416" s="129"/>
    </row>
    <row r="1417" spans="2:6" s="7" customFormat="1" ht="13.5">
      <c r="B1417" s="30"/>
      <c r="C1417" s="30"/>
      <c r="D1417" s="31"/>
      <c r="E1417" s="35"/>
      <c r="F1417" s="129"/>
    </row>
    <row r="1418" spans="2:6" s="7" customFormat="1" ht="13.5">
      <c r="B1418" s="30"/>
      <c r="C1418" s="30"/>
      <c r="D1418" s="31"/>
      <c r="E1418" s="35"/>
      <c r="F1418" s="129"/>
    </row>
    <row r="1419" spans="2:6" s="7" customFormat="1" ht="13.5">
      <c r="B1419" s="30"/>
      <c r="C1419" s="30"/>
      <c r="D1419" s="31"/>
      <c r="E1419" s="35"/>
      <c r="F1419" s="129"/>
    </row>
    <row r="1420" spans="2:6" s="7" customFormat="1" ht="13.5">
      <c r="B1420" s="30"/>
      <c r="C1420" s="30"/>
      <c r="D1420" s="31"/>
      <c r="E1420" s="35"/>
      <c r="F1420" s="129"/>
    </row>
    <row r="1421" spans="2:6" s="7" customFormat="1" ht="13.5">
      <c r="B1421" s="30"/>
      <c r="C1421" s="30"/>
      <c r="D1421" s="31"/>
      <c r="E1421" s="35"/>
      <c r="F1421" s="129"/>
    </row>
    <row r="1422" spans="2:6" s="7" customFormat="1" ht="13.5">
      <c r="B1422" s="30"/>
      <c r="C1422" s="30"/>
      <c r="D1422" s="31"/>
      <c r="E1422" s="35"/>
      <c r="F1422" s="129"/>
    </row>
    <row r="1423" spans="2:6" s="7" customFormat="1" ht="13.5">
      <c r="B1423" s="30"/>
      <c r="C1423" s="30"/>
      <c r="D1423" s="31"/>
      <c r="E1423" s="35"/>
      <c r="F1423" s="129"/>
    </row>
    <row r="1424" spans="2:6" s="7" customFormat="1" ht="13.5">
      <c r="B1424" s="30"/>
      <c r="C1424" s="30"/>
      <c r="D1424" s="31"/>
      <c r="E1424" s="35"/>
      <c r="F1424" s="129"/>
    </row>
    <row r="1425" spans="2:6" s="7" customFormat="1" ht="13.5">
      <c r="B1425" s="30"/>
      <c r="C1425" s="30"/>
      <c r="D1425" s="31"/>
      <c r="E1425" s="35"/>
      <c r="F1425" s="129"/>
    </row>
    <row r="1426" spans="2:6" s="7" customFormat="1" ht="13.5">
      <c r="B1426" s="30"/>
      <c r="C1426" s="30"/>
      <c r="D1426" s="31"/>
      <c r="E1426" s="35"/>
      <c r="F1426" s="129"/>
    </row>
    <row r="1427" spans="2:6" s="7" customFormat="1" ht="13.5">
      <c r="B1427" s="30"/>
      <c r="C1427" s="30"/>
      <c r="D1427" s="31"/>
      <c r="E1427" s="35"/>
      <c r="F1427" s="129"/>
    </row>
    <row r="1428" spans="2:6" s="7" customFormat="1" ht="13.5">
      <c r="B1428" s="30"/>
      <c r="C1428" s="30"/>
      <c r="D1428" s="31"/>
      <c r="E1428" s="35"/>
      <c r="F1428" s="129"/>
    </row>
    <row r="1429" spans="2:6" s="7" customFormat="1" ht="13.5">
      <c r="B1429" s="30"/>
      <c r="C1429" s="30"/>
      <c r="D1429" s="31"/>
      <c r="E1429" s="35"/>
      <c r="F1429" s="129"/>
    </row>
    <row r="1430" spans="2:6" s="7" customFormat="1" ht="13.5">
      <c r="B1430" s="30"/>
      <c r="C1430" s="30"/>
      <c r="D1430" s="31"/>
      <c r="E1430" s="35"/>
      <c r="F1430" s="129"/>
    </row>
    <row r="1431" spans="2:6" s="7" customFormat="1" ht="13.5">
      <c r="B1431" s="30"/>
      <c r="C1431" s="30"/>
      <c r="D1431" s="31"/>
      <c r="E1431" s="35"/>
      <c r="F1431" s="129"/>
    </row>
    <row r="1432" spans="2:6" s="7" customFormat="1" ht="13.5">
      <c r="B1432" s="30"/>
      <c r="C1432" s="30"/>
      <c r="D1432" s="31"/>
      <c r="E1432" s="35"/>
      <c r="F1432" s="129"/>
    </row>
    <row r="1433" spans="2:6" s="7" customFormat="1" ht="13.5">
      <c r="B1433" s="30"/>
      <c r="C1433" s="30"/>
      <c r="D1433" s="31"/>
      <c r="E1433" s="35"/>
      <c r="F1433" s="129"/>
    </row>
    <row r="1434" spans="2:6" s="7" customFormat="1" ht="13.5">
      <c r="B1434" s="30"/>
      <c r="C1434" s="30"/>
      <c r="D1434" s="31"/>
      <c r="E1434" s="35"/>
      <c r="F1434" s="129"/>
    </row>
    <row r="1435" spans="2:6" s="7" customFormat="1" ht="13.5">
      <c r="B1435" s="30"/>
      <c r="C1435" s="30"/>
      <c r="D1435" s="31"/>
      <c r="E1435" s="35"/>
      <c r="F1435" s="129"/>
    </row>
    <row r="1436" spans="2:6" s="7" customFormat="1" ht="13.5">
      <c r="B1436" s="30"/>
      <c r="C1436" s="30"/>
      <c r="D1436" s="31"/>
      <c r="E1436" s="35"/>
      <c r="F1436" s="129"/>
    </row>
    <row r="1437" spans="2:6" s="7" customFormat="1" ht="13.5">
      <c r="B1437" s="30"/>
      <c r="C1437" s="30"/>
      <c r="D1437" s="31"/>
      <c r="E1437" s="35"/>
      <c r="F1437" s="129"/>
    </row>
    <row r="1438" spans="2:6" s="7" customFormat="1" ht="13.5">
      <c r="B1438" s="30"/>
      <c r="C1438" s="30"/>
      <c r="D1438" s="31"/>
      <c r="E1438" s="35"/>
      <c r="F1438" s="129"/>
    </row>
    <row r="1439" spans="2:6" s="7" customFormat="1" ht="13.5">
      <c r="B1439" s="30"/>
      <c r="C1439" s="30"/>
      <c r="D1439" s="31"/>
      <c r="E1439" s="35"/>
      <c r="F1439" s="129"/>
    </row>
    <row r="1440" spans="2:6" s="7" customFormat="1" ht="13.5">
      <c r="B1440" s="30"/>
      <c r="C1440" s="30"/>
      <c r="D1440" s="31"/>
      <c r="E1440" s="35"/>
      <c r="F1440" s="129"/>
    </row>
    <row r="1441" spans="2:6" s="7" customFormat="1" ht="13.5">
      <c r="B1441" s="30"/>
      <c r="C1441" s="30"/>
      <c r="D1441" s="31"/>
      <c r="E1441" s="35"/>
      <c r="F1441" s="129"/>
    </row>
    <row r="1442" spans="2:6" s="7" customFormat="1" ht="13.5">
      <c r="B1442" s="30"/>
      <c r="C1442" s="30"/>
      <c r="D1442" s="31"/>
      <c r="E1442" s="35"/>
      <c r="F1442" s="129"/>
    </row>
    <row r="1443" spans="2:6" s="7" customFormat="1" ht="13.5">
      <c r="B1443" s="30"/>
      <c r="C1443" s="30"/>
      <c r="D1443" s="31"/>
      <c r="E1443" s="35"/>
      <c r="F1443" s="129"/>
    </row>
    <row r="1444" spans="2:6" s="7" customFormat="1" ht="13.5">
      <c r="B1444" s="30"/>
      <c r="C1444" s="30"/>
      <c r="D1444" s="31"/>
      <c r="E1444" s="35"/>
      <c r="F1444" s="129"/>
    </row>
    <row r="1445" spans="2:6" s="7" customFormat="1" ht="13.5">
      <c r="B1445" s="30"/>
      <c r="C1445" s="30"/>
      <c r="D1445" s="31"/>
      <c r="E1445" s="35"/>
      <c r="F1445" s="129"/>
    </row>
    <row r="1446" spans="2:6" s="7" customFormat="1" ht="13.5">
      <c r="B1446" s="30"/>
      <c r="C1446" s="30"/>
      <c r="D1446" s="31"/>
      <c r="E1446" s="35"/>
      <c r="F1446" s="129"/>
    </row>
    <row r="1447" spans="2:6" s="7" customFormat="1" ht="13.5">
      <c r="B1447" s="30"/>
      <c r="C1447" s="30"/>
      <c r="D1447" s="31"/>
      <c r="E1447" s="35"/>
      <c r="F1447" s="129"/>
    </row>
    <row r="1448" spans="2:6" s="7" customFormat="1" ht="13.5">
      <c r="B1448" s="30"/>
      <c r="C1448" s="30"/>
      <c r="D1448" s="31"/>
      <c r="E1448" s="35"/>
      <c r="F1448" s="129"/>
    </row>
    <row r="1449" spans="2:6" s="7" customFormat="1" ht="13.5">
      <c r="B1449" s="30"/>
      <c r="C1449" s="30"/>
      <c r="D1449" s="31"/>
      <c r="E1449" s="35"/>
      <c r="F1449" s="129"/>
    </row>
    <row r="1450" spans="2:6" s="7" customFormat="1" ht="13.5">
      <c r="B1450" s="30"/>
      <c r="C1450" s="30"/>
      <c r="D1450" s="31"/>
      <c r="E1450" s="35"/>
      <c r="F1450" s="129"/>
    </row>
    <row r="1451" spans="2:6" s="7" customFormat="1" ht="13.5">
      <c r="B1451" s="30"/>
      <c r="C1451" s="30"/>
      <c r="D1451" s="31"/>
      <c r="E1451" s="35"/>
      <c r="F1451" s="129"/>
    </row>
    <row r="1452" spans="2:6" s="7" customFormat="1" ht="13.5">
      <c r="B1452" s="30"/>
      <c r="C1452" s="30"/>
      <c r="D1452" s="31"/>
      <c r="E1452" s="35"/>
      <c r="F1452" s="129"/>
    </row>
    <row r="1453" spans="2:6" s="7" customFormat="1" ht="13.5">
      <c r="B1453" s="30"/>
      <c r="C1453" s="30"/>
      <c r="D1453" s="31"/>
      <c r="E1453" s="35"/>
      <c r="F1453" s="129"/>
    </row>
    <row r="1454" spans="2:6" s="7" customFormat="1" ht="13.5">
      <c r="B1454" s="30"/>
      <c r="C1454" s="30"/>
      <c r="D1454" s="31"/>
      <c r="E1454" s="35"/>
      <c r="F1454" s="129"/>
    </row>
    <row r="1455" spans="2:6" s="7" customFormat="1" ht="13.5">
      <c r="B1455" s="30"/>
      <c r="C1455" s="30"/>
      <c r="D1455" s="31"/>
      <c r="E1455" s="35"/>
      <c r="F1455" s="129"/>
    </row>
    <row r="1456" spans="2:6" s="7" customFormat="1" ht="13.5">
      <c r="B1456" s="30"/>
      <c r="C1456" s="30"/>
      <c r="D1456" s="31"/>
      <c r="E1456" s="35"/>
      <c r="F1456" s="129"/>
    </row>
    <row r="1457" spans="2:6" s="7" customFormat="1" ht="13.5">
      <c r="B1457" s="30"/>
      <c r="C1457" s="30"/>
      <c r="D1457" s="31"/>
      <c r="E1457" s="35"/>
      <c r="F1457" s="129"/>
    </row>
    <row r="1458" spans="2:6" s="7" customFormat="1" ht="13.5">
      <c r="B1458" s="30"/>
      <c r="C1458" s="30"/>
      <c r="D1458" s="31"/>
      <c r="E1458" s="35"/>
      <c r="F1458" s="129"/>
    </row>
    <row r="1459" spans="2:6" s="7" customFormat="1" ht="13.5">
      <c r="B1459" s="30"/>
      <c r="C1459" s="30"/>
      <c r="D1459" s="31"/>
      <c r="E1459" s="35"/>
      <c r="F1459" s="129"/>
    </row>
    <row r="1460" spans="2:6" s="7" customFormat="1" ht="13.5">
      <c r="B1460" s="30"/>
      <c r="C1460" s="30"/>
      <c r="D1460" s="31"/>
      <c r="E1460" s="35"/>
      <c r="F1460" s="129"/>
    </row>
    <row r="1461" spans="2:6" s="7" customFormat="1" ht="13.5">
      <c r="B1461" s="30"/>
      <c r="C1461" s="30"/>
      <c r="D1461" s="31"/>
      <c r="E1461" s="35"/>
      <c r="F1461" s="129"/>
    </row>
    <row r="1462" spans="2:6" s="7" customFormat="1" ht="13.5">
      <c r="B1462" s="30"/>
      <c r="C1462" s="30"/>
      <c r="D1462" s="31"/>
      <c r="E1462" s="35"/>
      <c r="F1462" s="129"/>
    </row>
    <row r="1463" spans="2:6" s="7" customFormat="1" ht="13.5">
      <c r="B1463" s="30"/>
      <c r="C1463" s="30"/>
      <c r="D1463" s="31"/>
      <c r="E1463" s="35"/>
      <c r="F1463" s="129"/>
    </row>
    <row r="1464" spans="2:6" s="7" customFormat="1" ht="13.5">
      <c r="B1464" s="30"/>
      <c r="C1464" s="30"/>
      <c r="D1464" s="31"/>
      <c r="E1464" s="35"/>
      <c r="F1464" s="129"/>
    </row>
    <row r="1465" spans="2:6" s="7" customFormat="1" ht="13.5">
      <c r="B1465" s="30"/>
      <c r="C1465" s="30"/>
      <c r="D1465" s="31"/>
      <c r="E1465" s="35"/>
      <c r="F1465" s="129"/>
    </row>
    <row r="1466" spans="2:6" s="7" customFormat="1" ht="13.5">
      <c r="B1466" s="30"/>
      <c r="C1466" s="30"/>
      <c r="D1466" s="31"/>
      <c r="E1466" s="35"/>
      <c r="F1466" s="129"/>
    </row>
    <row r="1467" spans="2:6" s="7" customFormat="1" ht="13.5">
      <c r="B1467" s="30"/>
      <c r="C1467" s="30"/>
      <c r="D1467" s="31"/>
      <c r="E1467" s="35"/>
      <c r="F1467" s="129"/>
    </row>
    <row r="1468" spans="2:6" s="7" customFormat="1" ht="13.5">
      <c r="B1468" s="30"/>
      <c r="C1468" s="30"/>
      <c r="D1468" s="31"/>
      <c r="E1468" s="35"/>
      <c r="F1468" s="129"/>
    </row>
    <row r="1469" spans="2:6" s="7" customFormat="1" ht="13.5">
      <c r="B1469" s="30"/>
      <c r="C1469" s="30"/>
      <c r="D1469" s="31"/>
      <c r="E1469" s="35"/>
      <c r="F1469" s="129"/>
    </row>
    <row r="1470" spans="2:6" s="7" customFormat="1" ht="13.5">
      <c r="B1470" s="30"/>
      <c r="C1470" s="30"/>
      <c r="D1470" s="31"/>
      <c r="E1470" s="35"/>
      <c r="F1470" s="129"/>
    </row>
    <row r="1471" spans="2:6" s="7" customFormat="1" ht="13.5">
      <c r="B1471" s="30"/>
      <c r="C1471" s="30"/>
      <c r="D1471" s="31"/>
      <c r="E1471" s="35"/>
      <c r="F1471" s="129"/>
    </row>
    <row r="1472" spans="2:6" s="7" customFormat="1" ht="13.5">
      <c r="B1472" s="30"/>
      <c r="C1472" s="30"/>
      <c r="D1472" s="31"/>
      <c r="E1472" s="35"/>
      <c r="F1472" s="129"/>
    </row>
    <row r="1473" spans="2:6" s="7" customFormat="1" ht="13.5">
      <c r="B1473" s="30"/>
      <c r="C1473" s="30"/>
      <c r="D1473" s="31"/>
      <c r="E1473" s="35"/>
      <c r="F1473" s="129"/>
    </row>
    <row r="1474" spans="2:6" s="7" customFormat="1" ht="13.5">
      <c r="B1474" s="30"/>
      <c r="C1474" s="30"/>
      <c r="D1474" s="31"/>
      <c r="E1474" s="35"/>
      <c r="F1474" s="129"/>
    </row>
    <row r="1475" spans="2:6" s="7" customFormat="1" ht="13.5">
      <c r="B1475" s="30"/>
      <c r="C1475" s="30"/>
      <c r="D1475" s="31"/>
      <c r="E1475" s="35"/>
      <c r="F1475" s="129"/>
    </row>
    <row r="1476" spans="2:6" s="7" customFormat="1" ht="13.5">
      <c r="B1476" s="30"/>
      <c r="C1476" s="30"/>
      <c r="D1476" s="31"/>
      <c r="E1476" s="35"/>
      <c r="F1476" s="129"/>
    </row>
    <row r="1477" spans="2:6" s="7" customFormat="1" ht="13.5">
      <c r="B1477" s="30"/>
      <c r="C1477" s="30"/>
      <c r="D1477" s="31"/>
      <c r="E1477" s="35"/>
      <c r="F1477" s="129"/>
    </row>
    <row r="1478" spans="2:6" s="7" customFormat="1" ht="13.5">
      <c r="B1478" s="30"/>
      <c r="C1478" s="30"/>
      <c r="D1478" s="31"/>
      <c r="E1478" s="35"/>
      <c r="F1478" s="129"/>
    </row>
    <row r="1479" spans="2:6" s="7" customFormat="1" ht="13.5">
      <c r="B1479" s="30"/>
      <c r="C1479" s="30"/>
      <c r="D1479" s="31"/>
      <c r="E1479" s="35"/>
      <c r="F1479" s="129"/>
    </row>
    <row r="1480" spans="2:6" s="7" customFormat="1" ht="13.5">
      <c r="B1480" s="30"/>
      <c r="C1480" s="30"/>
      <c r="D1480" s="31"/>
      <c r="E1480" s="35"/>
      <c r="F1480" s="129"/>
    </row>
    <row r="1481" spans="2:6" s="7" customFormat="1" ht="13.5">
      <c r="B1481" s="30"/>
      <c r="C1481" s="30"/>
      <c r="D1481" s="31"/>
      <c r="E1481" s="35"/>
      <c r="F1481" s="129"/>
    </row>
    <row r="1482" spans="2:6" s="7" customFormat="1" ht="13.5">
      <c r="B1482" s="30"/>
      <c r="C1482" s="30"/>
      <c r="D1482" s="31"/>
      <c r="E1482" s="35"/>
      <c r="F1482" s="129"/>
    </row>
    <row r="1483" spans="2:6" s="7" customFormat="1" ht="13.5">
      <c r="B1483" s="30"/>
      <c r="C1483" s="30"/>
      <c r="D1483" s="31"/>
      <c r="E1483" s="35"/>
      <c r="F1483" s="129"/>
    </row>
    <row r="1484" spans="2:6" s="7" customFormat="1" ht="13.5">
      <c r="B1484" s="30"/>
      <c r="C1484" s="30"/>
      <c r="D1484" s="31"/>
      <c r="E1484" s="35"/>
      <c r="F1484" s="129"/>
    </row>
    <row r="1485" spans="2:6" s="7" customFormat="1" ht="13.5">
      <c r="B1485" s="30"/>
      <c r="C1485" s="30"/>
      <c r="D1485" s="31"/>
      <c r="E1485" s="35"/>
      <c r="F1485" s="129"/>
    </row>
    <row r="1486" spans="2:6" s="7" customFormat="1" ht="13.5">
      <c r="B1486" s="30"/>
      <c r="C1486" s="30"/>
      <c r="D1486" s="31"/>
      <c r="E1486" s="35"/>
      <c r="F1486" s="129"/>
    </row>
    <row r="1487" spans="2:6" s="7" customFormat="1" ht="13.5">
      <c r="B1487" s="30"/>
      <c r="C1487" s="30"/>
      <c r="D1487" s="31"/>
      <c r="E1487" s="35"/>
      <c r="F1487" s="129"/>
    </row>
    <row r="1488" spans="2:6" s="7" customFormat="1" ht="13.5">
      <c r="B1488" s="30"/>
      <c r="C1488" s="30"/>
      <c r="D1488" s="31"/>
      <c r="E1488" s="35"/>
      <c r="F1488" s="129"/>
    </row>
    <row r="1489" spans="2:6" s="7" customFormat="1" ht="13.5">
      <c r="B1489" s="30"/>
      <c r="C1489" s="30"/>
      <c r="D1489" s="31"/>
      <c r="E1489" s="35"/>
      <c r="F1489" s="129"/>
    </row>
    <row r="1490" spans="2:6" s="7" customFormat="1" ht="13.5">
      <c r="B1490" s="30"/>
      <c r="C1490" s="30"/>
      <c r="D1490" s="31"/>
      <c r="E1490" s="35"/>
      <c r="F1490" s="129"/>
    </row>
    <row r="1491" spans="2:6" s="7" customFormat="1" ht="13.5">
      <c r="B1491" s="30"/>
      <c r="C1491" s="30"/>
      <c r="D1491" s="31"/>
      <c r="E1491" s="35"/>
      <c r="F1491" s="129"/>
    </row>
    <row r="1492" spans="2:6" s="7" customFormat="1" ht="13.5">
      <c r="B1492" s="30"/>
      <c r="C1492" s="30"/>
      <c r="D1492" s="31"/>
      <c r="E1492" s="35"/>
      <c r="F1492" s="129"/>
    </row>
    <row r="1493" spans="2:6" s="7" customFormat="1" ht="13.5">
      <c r="B1493" s="30"/>
      <c r="C1493" s="30"/>
      <c r="D1493" s="31"/>
      <c r="E1493" s="35"/>
      <c r="F1493" s="129"/>
    </row>
    <row r="1494" spans="2:6" s="7" customFormat="1" ht="13.5">
      <c r="B1494" s="30"/>
      <c r="C1494" s="30"/>
      <c r="D1494" s="31"/>
      <c r="E1494" s="35"/>
      <c r="F1494" s="129"/>
    </row>
    <row r="1495" spans="2:6" s="7" customFormat="1" ht="13.5">
      <c r="B1495" s="30"/>
      <c r="C1495" s="30"/>
      <c r="D1495" s="31"/>
      <c r="E1495" s="35"/>
      <c r="F1495" s="129"/>
    </row>
    <row r="1496" spans="2:6" s="7" customFormat="1" ht="13.5">
      <c r="B1496" s="30"/>
      <c r="C1496" s="30"/>
      <c r="D1496" s="31"/>
      <c r="E1496" s="35"/>
      <c r="F1496" s="129"/>
    </row>
    <row r="1497" spans="2:6" s="7" customFormat="1" ht="13.5">
      <c r="B1497" s="30"/>
      <c r="C1497" s="30"/>
      <c r="D1497" s="31"/>
      <c r="E1497" s="35"/>
      <c r="F1497" s="129"/>
    </row>
    <row r="1498" spans="2:6" s="7" customFormat="1" ht="13.5">
      <c r="B1498" s="30"/>
      <c r="C1498" s="30"/>
      <c r="D1498" s="31"/>
      <c r="E1498" s="35"/>
      <c r="F1498" s="129"/>
    </row>
    <row r="1499" spans="2:6" s="7" customFormat="1" ht="13.5">
      <c r="B1499" s="30"/>
      <c r="C1499" s="30"/>
      <c r="D1499" s="31"/>
      <c r="E1499" s="35"/>
      <c r="F1499" s="129"/>
    </row>
    <row r="1500" spans="2:6" s="7" customFormat="1" ht="13.5">
      <c r="B1500" s="30"/>
      <c r="C1500" s="30"/>
      <c r="D1500" s="31"/>
      <c r="E1500" s="35"/>
      <c r="F1500" s="129"/>
    </row>
    <row r="1501" spans="2:6" s="7" customFormat="1" ht="13.5">
      <c r="B1501" s="30"/>
      <c r="C1501" s="30"/>
      <c r="D1501" s="31"/>
      <c r="E1501" s="35"/>
      <c r="F1501" s="129"/>
    </row>
    <row r="1502" spans="2:6" s="7" customFormat="1" ht="13.5">
      <c r="B1502" s="30"/>
      <c r="C1502" s="30"/>
      <c r="D1502" s="31"/>
      <c r="E1502" s="35"/>
      <c r="F1502" s="129"/>
    </row>
    <row r="1503" spans="2:6" s="7" customFormat="1" ht="13.5">
      <c r="B1503" s="30"/>
      <c r="C1503" s="30"/>
      <c r="D1503" s="31"/>
      <c r="E1503" s="35"/>
      <c r="F1503" s="129"/>
    </row>
    <row r="1504" spans="2:6" s="7" customFormat="1" ht="13.5">
      <c r="B1504" s="30"/>
      <c r="C1504" s="30"/>
      <c r="D1504" s="31"/>
      <c r="E1504" s="35"/>
      <c r="F1504" s="129"/>
    </row>
    <row r="1505" spans="2:6" s="7" customFormat="1" ht="13.5">
      <c r="B1505" s="30"/>
      <c r="C1505" s="30"/>
      <c r="D1505" s="31"/>
      <c r="E1505" s="35"/>
      <c r="F1505" s="129"/>
    </row>
    <row r="1506" spans="2:6" s="7" customFormat="1" ht="13.5">
      <c r="B1506" s="30"/>
      <c r="C1506" s="30"/>
      <c r="D1506" s="31"/>
      <c r="E1506" s="35"/>
      <c r="F1506" s="129"/>
    </row>
    <row r="1507" spans="2:6" s="7" customFormat="1" ht="13.5">
      <c r="B1507" s="30"/>
      <c r="C1507" s="30"/>
      <c r="D1507" s="31"/>
      <c r="E1507" s="35"/>
      <c r="F1507" s="129"/>
    </row>
    <row r="1508" spans="2:6" s="7" customFormat="1" ht="13.5">
      <c r="B1508" s="30"/>
      <c r="C1508" s="30"/>
      <c r="D1508" s="31"/>
      <c r="E1508" s="35"/>
      <c r="F1508" s="129"/>
    </row>
    <row r="1509" spans="2:6" s="7" customFormat="1" ht="13.5">
      <c r="B1509" s="30"/>
      <c r="C1509" s="30"/>
      <c r="D1509" s="31"/>
      <c r="E1509" s="35"/>
      <c r="F1509" s="129"/>
    </row>
    <row r="1510" spans="2:6" s="7" customFormat="1" ht="13.5">
      <c r="B1510" s="30"/>
      <c r="C1510" s="30"/>
      <c r="D1510" s="31"/>
      <c r="E1510" s="35"/>
      <c r="F1510" s="129"/>
    </row>
    <row r="1511" spans="2:6" s="7" customFormat="1" ht="13.5">
      <c r="B1511" s="30"/>
      <c r="C1511" s="30"/>
      <c r="D1511" s="31"/>
      <c r="E1511" s="35"/>
      <c r="F1511" s="129"/>
    </row>
    <row r="1512" spans="2:6" s="7" customFormat="1" ht="13.5">
      <c r="B1512" s="30"/>
      <c r="C1512" s="30"/>
      <c r="D1512" s="31"/>
      <c r="E1512" s="35"/>
      <c r="F1512" s="129"/>
    </row>
    <row r="1513" spans="2:6" s="7" customFormat="1" ht="13.5">
      <c r="B1513" s="30"/>
      <c r="C1513" s="30"/>
      <c r="D1513" s="31"/>
      <c r="E1513" s="35"/>
      <c r="F1513" s="129"/>
    </row>
    <row r="1514" spans="2:6" s="7" customFormat="1" ht="13.5">
      <c r="B1514" s="30"/>
      <c r="C1514" s="30"/>
      <c r="D1514" s="31"/>
      <c r="E1514" s="35"/>
      <c r="F1514" s="129"/>
    </row>
    <row r="1515" spans="2:6" s="7" customFormat="1" ht="13.5">
      <c r="B1515" s="30"/>
      <c r="C1515" s="30"/>
      <c r="D1515" s="31"/>
      <c r="E1515" s="35"/>
      <c r="F1515" s="129"/>
    </row>
    <row r="1516" spans="2:6" s="7" customFormat="1" ht="13.5">
      <c r="B1516" s="30"/>
      <c r="C1516" s="30"/>
      <c r="D1516" s="31"/>
      <c r="E1516" s="35"/>
      <c r="F1516" s="129"/>
    </row>
    <row r="1517" spans="2:6" s="7" customFormat="1" ht="13.5">
      <c r="B1517" s="30"/>
      <c r="C1517" s="30"/>
      <c r="D1517" s="31"/>
      <c r="E1517" s="35"/>
      <c r="F1517" s="129"/>
    </row>
    <row r="1518" spans="2:6" s="7" customFormat="1" ht="13.5">
      <c r="B1518" s="30"/>
      <c r="C1518" s="30"/>
      <c r="D1518" s="31"/>
      <c r="E1518" s="35"/>
      <c r="F1518" s="129"/>
    </row>
    <row r="1519" spans="2:6" s="7" customFormat="1" ht="13.5">
      <c r="B1519" s="30"/>
      <c r="C1519" s="30"/>
      <c r="D1519" s="31"/>
      <c r="E1519" s="35"/>
      <c r="F1519" s="129"/>
    </row>
    <row r="1520" spans="2:6" s="7" customFormat="1" ht="13.5">
      <c r="B1520" s="30"/>
      <c r="C1520" s="30"/>
      <c r="D1520" s="31"/>
      <c r="E1520" s="35"/>
      <c r="F1520" s="129"/>
    </row>
    <row r="1521" spans="2:6" s="7" customFormat="1" ht="13.5">
      <c r="B1521" s="30"/>
      <c r="C1521" s="30"/>
      <c r="D1521" s="31"/>
      <c r="E1521" s="35"/>
      <c r="F1521" s="129"/>
    </row>
    <row r="1522" spans="2:6" s="7" customFormat="1" ht="13.5">
      <c r="B1522" s="30"/>
      <c r="C1522" s="30"/>
      <c r="D1522" s="31"/>
      <c r="E1522" s="35"/>
      <c r="F1522" s="129"/>
    </row>
    <row r="1523" spans="2:6" s="7" customFormat="1" ht="13.5">
      <c r="B1523" s="30"/>
      <c r="C1523" s="30"/>
      <c r="D1523" s="31"/>
      <c r="E1523" s="35"/>
      <c r="F1523" s="129"/>
    </row>
    <row r="1524" spans="2:6" s="7" customFormat="1" ht="13.5">
      <c r="B1524" s="30"/>
      <c r="C1524" s="30"/>
      <c r="D1524" s="31"/>
      <c r="E1524" s="35"/>
      <c r="F1524" s="129"/>
    </row>
    <row r="1525" spans="2:6" s="7" customFormat="1" ht="13.5">
      <c r="B1525" s="30"/>
      <c r="C1525" s="30"/>
      <c r="D1525" s="31"/>
      <c r="E1525" s="35"/>
      <c r="F1525" s="129"/>
    </row>
    <row r="1526" spans="2:6" s="7" customFormat="1" ht="13.5">
      <c r="B1526" s="30"/>
      <c r="C1526" s="30"/>
      <c r="D1526" s="31"/>
      <c r="E1526" s="35"/>
      <c r="F1526" s="129"/>
    </row>
    <row r="1527" spans="2:6" s="7" customFormat="1" ht="13.5">
      <c r="B1527" s="30"/>
      <c r="C1527" s="30"/>
      <c r="D1527" s="31"/>
      <c r="E1527" s="35"/>
      <c r="F1527" s="129"/>
    </row>
    <row r="1528" spans="2:6" s="7" customFormat="1" ht="13.5">
      <c r="B1528" s="30"/>
      <c r="C1528" s="30"/>
      <c r="D1528" s="31"/>
      <c r="E1528" s="35"/>
      <c r="F1528" s="129"/>
    </row>
    <row r="1529" spans="2:6" s="7" customFormat="1" ht="13.5">
      <c r="B1529" s="30"/>
      <c r="C1529" s="30"/>
      <c r="D1529" s="31"/>
      <c r="E1529" s="35"/>
      <c r="F1529" s="129"/>
    </row>
    <row r="1530" spans="2:6" s="7" customFormat="1" ht="13.5">
      <c r="B1530" s="30"/>
      <c r="C1530" s="30"/>
      <c r="D1530" s="31"/>
      <c r="E1530" s="35"/>
      <c r="F1530" s="129"/>
    </row>
    <row r="1531" spans="2:6" s="7" customFormat="1" ht="13.5">
      <c r="B1531" s="30"/>
      <c r="C1531" s="30"/>
      <c r="D1531" s="31"/>
      <c r="E1531" s="35"/>
      <c r="F1531" s="129"/>
    </row>
    <row r="1532" spans="2:6" s="7" customFormat="1" ht="13.5">
      <c r="B1532" s="30"/>
      <c r="C1532" s="30"/>
      <c r="D1532" s="31"/>
      <c r="E1532" s="35"/>
      <c r="F1532" s="129"/>
    </row>
    <row r="1533" spans="2:6" s="7" customFormat="1" ht="13.5">
      <c r="B1533" s="30"/>
      <c r="C1533" s="30"/>
      <c r="D1533" s="31"/>
      <c r="E1533" s="35"/>
      <c r="F1533" s="129"/>
    </row>
    <row r="1534" spans="2:6" s="7" customFormat="1" ht="13.5">
      <c r="B1534" s="30"/>
      <c r="C1534" s="30"/>
      <c r="D1534" s="31"/>
      <c r="E1534" s="35"/>
      <c r="F1534" s="129"/>
    </row>
    <row r="1535" spans="2:6" s="7" customFormat="1" ht="13.5">
      <c r="B1535" s="30"/>
      <c r="C1535" s="30"/>
      <c r="D1535" s="31"/>
      <c r="E1535" s="35"/>
      <c r="F1535" s="129"/>
    </row>
    <row r="1536" spans="2:6" s="7" customFormat="1" ht="13.5">
      <c r="B1536" s="30"/>
      <c r="C1536" s="30"/>
      <c r="D1536" s="31"/>
      <c r="E1536" s="35"/>
      <c r="F1536" s="129"/>
    </row>
    <row r="1537" spans="2:6" s="7" customFormat="1" ht="13.5">
      <c r="B1537" s="30"/>
      <c r="C1537" s="30"/>
      <c r="D1537" s="31"/>
      <c r="E1537" s="35"/>
      <c r="F1537" s="129"/>
    </row>
    <row r="1538" spans="2:6" s="7" customFormat="1" ht="13.5">
      <c r="B1538" s="30"/>
      <c r="C1538" s="30"/>
      <c r="D1538" s="31"/>
      <c r="E1538" s="35"/>
      <c r="F1538" s="129"/>
    </row>
    <row r="1539" spans="2:6" s="7" customFormat="1" ht="13.5">
      <c r="B1539" s="30"/>
      <c r="C1539" s="30"/>
      <c r="D1539" s="31"/>
      <c r="E1539" s="35"/>
      <c r="F1539" s="129"/>
    </row>
    <row r="1540" spans="2:6" s="7" customFormat="1" ht="13.5">
      <c r="B1540" s="30"/>
      <c r="C1540" s="30"/>
      <c r="D1540" s="31"/>
      <c r="E1540" s="35"/>
      <c r="F1540" s="129"/>
    </row>
    <row r="1541" spans="2:6" s="7" customFormat="1" ht="13.5">
      <c r="B1541" s="30"/>
      <c r="C1541" s="30"/>
      <c r="D1541" s="31"/>
      <c r="E1541" s="35"/>
      <c r="F1541" s="129"/>
    </row>
    <row r="1542" spans="2:6" s="7" customFormat="1" ht="13.5">
      <c r="B1542" s="30"/>
      <c r="C1542" s="30"/>
      <c r="D1542" s="31"/>
      <c r="E1542" s="35"/>
      <c r="F1542" s="129"/>
    </row>
    <row r="1543" spans="2:6" s="7" customFormat="1" ht="13.5">
      <c r="B1543" s="30"/>
      <c r="C1543" s="30"/>
      <c r="D1543" s="31"/>
      <c r="E1543" s="35"/>
      <c r="F1543" s="129"/>
    </row>
    <row r="1544" spans="2:6" s="7" customFormat="1" ht="13.5">
      <c r="B1544" s="30"/>
      <c r="C1544" s="30"/>
      <c r="D1544" s="31"/>
      <c r="E1544" s="35"/>
      <c r="F1544" s="129"/>
    </row>
    <row r="1545" spans="2:6" s="7" customFormat="1" ht="13.5">
      <c r="B1545" s="30"/>
      <c r="C1545" s="30"/>
      <c r="D1545" s="31"/>
      <c r="E1545" s="35"/>
      <c r="F1545" s="129"/>
    </row>
    <row r="1546" spans="2:6" s="7" customFormat="1" ht="13.5">
      <c r="B1546" s="30"/>
      <c r="C1546" s="30"/>
      <c r="D1546" s="31"/>
      <c r="E1546" s="35"/>
      <c r="F1546" s="129"/>
    </row>
    <row r="1547" spans="2:6" s="7" customFormat="1" ht="13.5">
      <c r="B1547" s="30"/>
      <c r="C1547" s="30"/>
      <c r="D1547" s="31"/>
      <c r="E1547" s="35"/>
      <c r="F1547" s="129"/>
    </row>
    <row r="1548" spans="2:6" s="7" customFormat="1" ht="13.5">
      <c r="B1548" s="30"/>
      <c r="C1548" s="30"/>
      <c r="D1548" s="31"/>
      <c r="E1548" s="35"/>
      <c r="F1548" s="129"/>
    </row>
    <row r="1549" spans="2:6" s="7" customFormat="1" ht="13.5">
      <c r="B1549" s="30"/>
      <c r="C1549" s="30"/>
      <c r="D1549" s="31"/>
      <c r="E1549" s="35"/>
      <c r="F1549" s="129"/>
    </row>
    <row r="1550" spans="2:6" s="7" customFormat="1" ht="13.5">
      <c r="B1550" s="30"/>
      <c r="C1550" s="30"/>
      <c r="D1550" s="31"/>
      <c r="E1550" s="35"/>
      <c r="F1550" s="129"/>
    </row>
    <row r="1551" spans="2:6" s="7" customFormat="1" ht="13.5">
      <c r="B1551" s="30"/>
      <c r="C1551" s="30"/>
      <c r="D1551" s="31"/>
      <c r="E1551" s="35"/>
      <c r="F1551" s="129"/>
    </row>
    <row r="1552" spans="2:6" s="7" customFormat="1" ht="13.5">
      <c r="B1552" s="30"/>
      <c r="C1552" s="30"/>
      <c r="D1552" s="31"/>
      <c r="E1552" s="35"/>
      <c r="F1552" s="129"/>
    </row>
    <row r="1553" spans="2:6" s="7" customFormat="1" ht="13.5">
      <c r="B1553" s="30"/>
      <c r="C1553" s="30"/>
      <c r="D1553" s="31"/>
      <c r="E1553" s="35"/>
      <c r="F1553" s="129"/>
    </row>
    <row r="1554" spans="2:6" s="7" customFormat="1" ht="13.5">
      <c r="B1554" s="30"/>
      <c r="C1554" s="30"/>
      <c r="D1554" s="31"/>
      <c r="E1554" s="35"/>
      <c r="F1554" s="129"/>
    </row>
    <row r="1555" spans="2:6" s="7" customFormat="1" ht="13.5">
      <c r="B1555" s="30"/>
      <c r="C1555" s="30"/>
      <c r="D1555" s="31"/>
      <c r="E1555" s="35"/>
      <c r="F1555" s="129"/>
    </row>
    <row r="1556" spans="2:6" s="7" customFormat="1" ht="13.5">
      <c r="B1556" s="30"/>
      <c r="C1556" s="30"/>
      <c r="D1556" s="31"/>
      <c r="E1556" s="35"/>
      <c r="F1556" s="129"/>
    </row>
    <row r="1557" spans="2:6" s="7" customFormat="1" ht="13.5">
      <c r="B1557" s="30"/>
      <c r="C1557" s="30"/>
      <c r="D1557" s="31"/>
      <c r="E1557" s="35"/>
      <c r="F1557" s="129"/>
    </row>
    <row r="1558" spans="2:6" s="7" customFormat="1" ht="13.5">
      <c r="B1558" s="30"/>
      <c r="C1558" s="30"/>
      <c r="D1558" s="31"/>
      <c r="E1558" s="35"/>
      <c r="F1558" s="129"/>
    </row>
    <row r="1559" spans="2:6" s="7" customFormat="1" ht="13.5">
      <c r="B1559" s="30"/>
      <c r="C1559" s="30"/>
      <c r="D1559" s="31"/>
      <c r="E1559" s="35"/>
      <c r="F1559" s="129"/>
    </row>
    <row r="1560" spans="2:6" s="7" customFormat="1" ht="13.5">
      <c r="B1560" s="30"/>
      <c r="C1560" s="30"/>
      <c r="D1560" s="31"/>
      <c r="E1560" s="35"/>
      <c r="F1560" s="129"/>
    </row>
    <row r="1561" spans="2:6" s="7" customFormat="1" ht="13.5">
      <c r="B1561" s="30"/>
      <c r="C1561" s="30"/>
      <c r="D1561" s="31"/>
      <c r="E1561" s="35"/>
      <c r="F1561" s="129"/>
    </row>
    <row r="1562" spans="2:6" s="7" customFormat="1" ht="13.5">
      <c r="B1562" s="30"/>
      <c r="C1562" s="30"/>
      <c r="D1562" s="31"/>
      <c r="E1562" s="35"/>
      <c r="F1562" s="129"/>
    </row>
    <row r="1563" spans="2:6" s="7" customFormat="1" ht="13.5">
      <c r="B1563" s="30"/>
      <c r="C1563" s="30"/>
      <c r="D1563" s="31"/>
      <c r="E1563" s="35"/>
      <c r="F1563" s="129"/>
    </row>
    <row r="1564" spans="2:6" s="7" customFormat="1" ht="13.5">
      <c r="B1564" s="30"/>
      <c r="C1564" s="30"/>
      <c r="D1564" s="31"/>
      <c r="E1564" s="35"/>
      <c r="F1564" s="129"/>
    </row>
    <row r="1565" spans="2:6" s="7" customFormat="1" ht="13.5">
      <c r="B1565" s="30"/>
      <c r="C1565" s="30"/>
      <c r="D1565" s="31"/>
      <c r="E1565" s="35"/>
      <c r="F1565" s="129"/>
    </row>
    <row r="1566" spans="2:6" s="7" customFormat="1" ht="13.5">
      <c r="B1566" s="30"/>
      <c r="C1566" s="30"/>
      <c r="D1566" s="31"/>
      <c r="E1566" s="35"/>
      <c r="F1566" s="129"/>
    </row>
    <row r="1567" spans="2:6" s="7" customFormat="1" ht="13.5">
      <c r="B1567" s="30"/>
      <c r="C1567" s="30"/>
      <c r="D1567" s="31"/>
      <c r="E1567" s="35"/>
      <c r="F1567" s="129"/>
    </row>
    <row r="1568" spans="2:6" s="7" customFormat="1" ht="13.5">
      <c r="B1568" s="30"/>
      <c r="C1568" s="30"/>
      <c r="D1568" s="31"/>
      <c r="E1568" s="35"/>
      <c r="F1568" s="129"/>
    </row>
    <row r="1569" spans="2:6" s="7" customFormat="1" ht="13.5">
      <c r="B1569" s="30"/>
      <c r="C1569" s="30"/>
      <c r="D1569" s="31"/>
      <c r="E1569" s="35"/>
      <c r="F1569" s="129"/>
    </row>
    <row r="1570" spans="2:6" s="7" customFormat="1" ht="13.5">
      <c r="B1570" s="30"/>
      <c r="C1570" s="30"/>
      <c r="D1570" s="31"/>
      <c r="E1570" s="35"/>
      <c r="F1570" s="129"/>
    </row>
    <row r="1571" spans="2:6" s="7" customFormat="1" ht="13.5">
      <c r="B1571" s="30"/>
      <c r="C1571" s="30"/>
      <c r="D1571" s="31"/>
      <c r="E1571" s="35"/>
      <c r="F1571" s="129"/>
    </row>
    <row r="1572" spans="2:6" s="7" customFormat="1" ht="13.5">
      <c r="B1572" s="30"/>
      <c r="C1572" s="30"/>
      <c r="D1572" s="31"/>
      <c r="E1572" s="35"/>
      <c r="F1572" s="129"/>
    </row>
    <row r="1573" spans="2:6" s="7" customFormat="1" ht="13.5">
      <c r="B1573" s="30"/>
      <c r="C1573" s="30"/>
      <c r="D1573" s="31"/>
      <c r="E1573" s="35"/>
      <c r="F1573" s="129"/>
    </row>
    <row r="1574" spans="2:6" s="7" customFormat="1" ht="13.5">
      <c r="B1574" s="30"/>
      <c r="C1574" s="30"/>
      <c r="D1574" s="31"/>
      <c r="E1574" s="35"/>
      <c r="F1574" s="129"/>
    </row>
    <row r="1575" spans="2:6" s="7" customFormat="1" ht="13.5">
      <c r="B1575" s="30"/>
      <c r="C1575" s="30"/>
      <c r="D1575" s="31"/>
      <c r="E1575" s="35"/>
      <c r="F1575" s="129"/>
    </row>
    <row r="1576" spans="2:6" s="7" customFormat="1" ht="13.5">
      <c r="B1576" s="30"/>
      <c r="C1576" s="30"/>
      <c r="D1576" s="31"/>
      <c r="E1576" s="35"/>
      <c r="F1576" s="129"/>
    </row>
    <row r="1577" spans="2:6" s="7" customFormat="1" ht="13.5">
      <c r="B1577" s="30"/>
      <c r="C1577" s="30"/>
      <c r="D1577" s="31"/>
      <c r="E1577" s="35"/>
      <c r="F1577" s="129"/>
    </row>
    <row r="1578" spans="2:6" s="7" customFormat="1" ht="13.5">
      <c r="B1578" s="30"/>
      <c r="C1578" s="30"/>
      <c r="D1578" s="31"/>
      <c r="E1578" s="35"/>
      <c r="F1578" s="129"/>
    </row>
    <row r="1579" spans="2:6" s="7" customFormat="1" ht="13.5">
      <c r="B1579" s="30"/>
      <c r="C1579" s="30"/>
      <c r="D1579" s="31"/>
      <c r="E1579" s="35"/>
      <c r="F1579" s="129"/>
    </row>
    <row r="1580" spans="2:6" s="7" customFormat="1" ht="13.5">
      <c r="B1580" s="30"/>
      <c r="C1580" s="30"/>
      <c r="D1580" s="31"/>
      <c r="E1580" s="35"/>
      <c r="F1580" s="129"/>
    </row>
    <row r="1581" spans="2:6" s="7" customFormat="1" ht="13.5">
      <c r="B1581" s="30"/>
      <c r="C1581" s="30"/>
      <c r="D1581" s="31"/>
      <c r="E1581" s="35"/>
      <c r="F1581" s="129"/>
    </row>
    <row r="1582" spans="2:6" s="7" customFormat="1" ht="13.5">
      <c r="B1582" s="30"/>
      <c r="C1582" s="30"/>
      <c r="D1582" s="31"/>
      <c r="E1582" s="35"/>
      <c r="F1582" s="129"/>
    </row>
    <row r="1583" spans="2:6" s="7" customFormat="1" ht="13.5">
      <c r="B1583" s="30"/>
      <c r="C1583" s="30"/>
      <c r="D1583" s="31"/>
      <c r="E1583" s="35"/>
      <c r="F1583" s="129"/>
    </row>
    <row r="1584" spans="2:6" s="7" customFormat="1" ht="13.5">
      <c r="B1584" s="30"/>
      <c r="C1584" s="30"/>
      <c r="D1584" s="31"/>
      <c r="E1584" s="35"/>
      <c r="F1584" s="129"/>
    </row>
    <row r="1585" spans="2:6" s="7" customFormat="1" ht="13.5">
      <c r="B1585" s="30"/>
      <c r="C1585" s="30"/>
      <c r="D1585" s="31"/>
      <c r="E1585" s="35"/>
      <c r="F1585" s="129"/>
    </row>
    <row r="1586" spans="2:6" s="7" customFormat="1" ht="13.5">
      <c r="B1586" s="30"/>
      <c r="C1586" s="30"/>
      <c r="D1586" s="31"/>
      <c r="E1586" s="35"/>
      <c r="F1586" s="129"/>
    </row>
    <row r="1587" spans="2:6" s="7" customFormat="1" ht="13.5">
      <c r="B1587" s="30"/>
      <c r="C1587" s="30"/>
      <c r="D1587" s="31"/>
      <c r="E1587" s="35"/>
      <c r="F1587" s="129"/>
    </row>
    <row r="1588" spans="2:6" s="7" customFormat="1" ht="13.5">
      <c r="B1588" s="30"/>
      <c r="C1588" s="30"/>
      <c r="D1588" s="31"/>
      <c r="E1588" s="35"/>
      <c r="F1588" s="129"/>
    </row>
    <row r="1589" spans="2:6" s="7" customFormat="1" ht="13.5">
      <c r="B1589" s="30"/>
      <c r="C1589" s="30"/>
      <c r="D1589" s="31"/>
      <c r="E1589" s="35"/>
      <c r="F1589" s="129"/>
    </row>
    <row r="1590" spans="2:6" s="7" customFormat="1" ht="13.5">
      <c r="B1590" s="30"/>
      <c r="C1590" s="30"/>
      <c r="D1590" s="31"/>
      <c r="E1590" s="35"/>
      <c r="F1590" s="129"/>
    </row>
    <row r="1591" spans="2:6" s="7" customFormat="1" ht="13.5">
      <c r="B1591" s="30"/>
      <c r="C1591" s="30"/>
      <c r="D1591" s="31"/>
      <c r="E1591" s="35"/>
      <c r="F1591" s="129"/>
    </row>
    <row r="1592" spans="2:6" s="7" customFormat="1" ht="13.5">
      <c r="B1592" s="30"/>
      <c r="C1592" s="30"/>
      <c r="D1592" s="31"/>
      <c r="E1592" s="35"/>
      <c r="F1592" s="129"/>
    </row>
    <row r="1593" spans="2:6" s="7" customFormat="1" ht="13.5">
      <c r="B1593" s="30"/>
      <c r="C1593" s="30"/>
      <c r="D1593" s="31"/>
      <c r="E1593" s="35"/>
      <c r="F1593" s="129"/>
    </row>
    <row r="1594" spans="2:6" s="7" customFormat="1" ht="13.5">
      <c r="B1594" s="30"/>
      <c r="C1594" s="30"/>
      <c r="D1594" s="31"/>
      <c r="E1594" s="35"/>
      <c r="F1594" s="129"/>
    </row>
    <row r="1595" spans="2:6" s="7" customFormat="1" ht="13.5">
      <c r="B1595" s="30"/>
      <c r="C1595" s="30"/>
      <c r="D1595" s="31"/>
      <c r="E1595" s="35"/>
      <c r="F1595" s="129"/>
    </row>
    <row r="1596" spans="2:6" s="7" customFormat="1" ht="13.5">
      <c r="B1596" s="30"/>
      <c r="C1596" s="30"/>
      <c r="D1596" s="31"/>
      <c r="E1596" s="35"/>
      <c r="F1596" s="129"/>
    </row>
    <row r="1597" spans="2:6" s="7" customFormat="1" ht="13.5">
      <c r="B1597" s="30"/>
      <c r="C1597" s="30"/>
      <c r="D1597" s="31"/>
      <c r="E1597" s="35"/>
      <c r="F1597" s="129"/>
    </row>
    <row r="1598" spans="2:6" s="7" customFormat="1" ht="13.5">
      <c r="B1598" s="30"/>
      <c r="C1598" s="30"/>
      <c r="D1598" s="31"/>
      <c r="E1598" s="35"/>
      <c r="F1598" s="129"/>
    </row>
    <row r="1599" spans="2:6" s="7" customFormat="1" ht="13.5">
      <c r="B1599" s="30"/>
      <c r="C1599" s="30"/>
      <c r="D1599" s="31"/>
      <c r="E1599" s="35"/>
      <c r="F1599" s="129"/>
    </row>
    <row r="1600" spans="2:6" s="7" customFormat="1" ht="13.5">
      <c r="B1600" s="30"/>
      <c r="C1600" s="30"/>
      <c r="D1600" s="31"/>
      <c r="E1600" s="35"/>
      <c r="F1600" s="129"/>
    </row>
    <row r="1601" spans="2:6" s="7" customFormat="1" ht="13.5">
      <c r="B1601" s="30"/>
      <c r="C1601" s="30"/>
      <c r="D1601" s="31"/>
      <c r="E1601" s="35"/>
      <c r="F1601" s="129"/>
    </row>
    <row r="1602" spans="2:6" s="7" customFormat="1" ht="13.5">
      <c r="B1602" s="30"/>
      <c r="C1602" s="30"/>
      <c r="D1602" s="31"/>
      <c r="E1602" s="35"/>
      <c r="F1602" s="129"/>
    </row>
    <row r="1603" spans="2:6" s="7" customFormat="1" ht="13.5">
      <c r="B1603" s="30"/>
      <c r="C1603" s="30"/>
      <c r="D1603" s="31"/>
      <c r="E1603" s="35"/>
      <c r="F1603" s="129"/>
    </row>
    <row r="1604" spans="2:6" s="7" customFormat="1" ht="13.5">
      <c r="B1604" s="30"/>
      <c r="C1604" s="30"/>
      <c r="D1604" s="31"/>
      <c r="E1604" s="35"/>
      <c r="F1604" s="129"/>
    </row>
    <row r="1605" spans="2:6" s="7" customFormat="1" ht="13.5">
      <c r="B1605" s="30"/>
      <c r="C1605" s="30"/>
      <c r="D1605" s="31"/>
      <c r="E1605" s="35"/>
      <c r="F1605" s="129"/>
    </row>
    <row r="1606" spans="2:6" s="7" customFormat="1" ht="13.5">
      <c r="B1606" s="30"/>
      <c r="C1606" s="30"/>
      <c r="D1606" s="31"/>
      <c r="E1606" s="35"/>
      <c r="F1606" s="129"/>
    </row>
    <row r="1607" spans="2:6" s="7" customFormat="1" ht="13.5">
      <c r="B1607" s="30"/>
      <c r="C1607" s="30"/>
      <c r="D1607" s="31"/>
      <c r="E1607" s="35"/>
      <c r="F1607" s="129"/>
    </row>
    <row r="1608" spans="2:6" s="7" customFormat="1" ht="13.5">
      <c r="B1608" s="30"/>
      <c r="C1608" s="30"/>
      <c r="D1608" s="31"/>
      <c r="E1608" s="35"/>
      <c r="F1608" s="129"/>
    </row>
    <row r="1609" spans="2:6" s="7" customFormat="1" ht="13.5">
      <c r="B1609" s="30"/>
      <c r="C1609" s="30"/>
      <c r="D1609" s="31"/>
      <c r="E1609" s="35"/>
      <c r="F1609" s="129"/>
    </row>
    <row r="1610" spans="2:6" s="7" customFormat="1" ht="13.5">
      <c r="B1610" s="30"/>
      <c r="C1610" s="30"/>
      <c r="D1610" s="31"/>
      <c r="E1610" s="35"/>
      <c r="F1610" s="129"/>
    </row>
    <row r="1611" spans="2:6" s="7" customFormat="1" ht="13.5">
      <c r="B1611" s="30"/>
      <c r="C1611" s="30"/>
      <c r="D1611" s="31"/>
      <c r="E1611" s="35"/>
      <c r="F1611" s="129"/>
    </row>
    <row r="1612" spans="2:6" s="7" customFormat="1" ht="13.5">
      <c r="B1612" s="30"/>
      <c r="C1612" s="30"/>
      <c r="D1612" s="31"/>
      <c r="E1612" s="35"/>
      <c r="F1612" s="129"/>
    </row>
    <row r="1613" spans="2:6" s="7" customFormat="1" ht="13.5">
      <c r="B1613" s="30"/>
      <c r="C1613" s="30"/>
      <c r="D1613" s="31"/>
      <c r="E1613" s="35"/>
      <c r="F1613" s="129"/>
    </row>
    <row r="1614" spans="2:6" s="7" customFormat="1" ht="13.5">
      <c r="B1614" s="30"/>
      <c r="C1614" s="30"/>
      <c r="D1614" s="31"/>
      <c r="E1614" s="35"/>
      <c r="F1614" s="129"/>
    </row>
    <row r="1615" spans="2:6" s="7" customFormat="1" ht="13.5">
      <c r="B1615" s="30"/>
      <c r="C1615" s="30"/>
      <c r="D1615" s="31"/>
      <c r="E1615" s="35"/>
      <c r="F1615" s="129"/>
    </row>
    <row r="1616" spans="2:6" s="7" customFormat="1" ht="13.5">
      <c r="B1616" s="30"/>
      <c r="C1616" s="30"/>
      <c r="D1616" s="31"/>
      <c r="E1616" s="35"/>
      <c r="F1616" s="129"/>
    </row>
    <row r="1617" spans="2:6" s="7" customFormat="1" ht="13.5">
      <c r="B1617" s="30"/>
      <c r="C1617" s="30"/>
      <c r="D1617" s="31"/>
      <c r="E1617" s="35"/>
      <c r="F1617" s="129"/>
    </row>
    <row r="1618" spans="2:6" s="7" customFormat="1" ht="13.5">
      <c r="B1618" s="30"/>
      <c r="C1618" s="30"/>
      <c r="D1618" s="31"/>
      <c r="E1618" s="35"/>
      <c r="F1618" s="129"/>
    </row>
    <row r="1619" spans="2:6" s="7" customFormat="1" ht="13.5">
      <c r="B1619" s="30"/>
      <c r="C1619" s="30"/>
      <c r="D1619" s="31"/>
      <c r="E1619" s="35"/>
      <c r="F1619" s="129"/>
    </row>
    <row r="1620" spans="2:6" s="7" customFormat="1" ht="13.5">
      <c r="B1620" s="30"/>
      <c r="C1620" s="30"/>
      <c r="D1620" s="31"/>
      <c r="E1620" s="35"/>
      <c r="F1620" s="129"/>
    </row>
    <row r="1621" spans="2:6" s="7" customFormat="1" ht="13.5">
      <c r="B1621" s="30"/>
      <c r="C1621" s="30"/>
      <c r="D1621" s="31"/>
      <c r="E1621" s="35"/>
      <c r="F1621" s="129"/>
    </row>
    <row r="1622" spans="2:6" s="7" customFormat="1" ht="13.5">
      <c r="B1622" s="30"/>
      <c r="C1622" s="30"/>
      <c r="D1622" s="31"/>
      <c r="E1622" s="35"/>
      <c r="F1622" s="129"/>
    </row>
    <row r="1623" spans="2:6" s="7" customFormat="1" ht="13.5">
      <c r="B1623" s="30"/>
      <c r="C1623" s="30"/>
      <c r="D1623" s="31"/>
      <c r="E1623" s="35"/>
      <c r="F1623" s="129"/>
    </row>
    <row r="1624" spans="2:6" s="7" customFormat="1" ht="13.5">
      <c r="B1624" s="30"/>
      <c r="C1624" s="30"/>
      <c r="D1624" s="31"/>
      <c r="E1624" s="35"/>
      <c r="F1624" s="129"/>
    </row>
    <row r="1625" spans="2:6" s="7" customFormat="1" ht="13.5">
      <c r="B1625" s="30"/>
      <c r="C1625" s="30"/>
      <c r="D1625" s="31"/>
      <c r="E1625" s="35"/>
      <c r="F1625" s="129"/>
    </row>
    <row r="1626" spans="2:6" s="7" customFormat="1" ht="13.5">
      <c r="B1626" s="30"/>
      <c r="C1626" s="30"/>
      <c r="D1626" s="31"/>
      <c r="E1626" s="35"/>
      <c r="F1626" s="129"/>
    </row>
    <row r="1627" spans="2:6" s="7" customFormat="1" ht="13.5">
      <c r="B1627" s="30"/>
      <c r="C1627" s="30"/>
      <c r="D1627" s="31"/>
      <c r="E1627" s="35"/>
      <c r="F1627" s="129"/>
    </row>
    <row r="1628" spans="2:6" s="7" customFormat="1" ht="13.5">
      <c r="B1628" s="30"/>
      <c r="C1628" s="30"/>
      <c r="D1628" s="31"/>
      <c r="E1628" s="35"/>
      <c r="F1628" s="129"/>
    </row>
    <row r="1629" spans="2:6" s="7" customFormat="1" ht="13.5">
      <c r="B1629" s="30"/>
      <c r="C1629" s="30"/>
      <c r="D1629" s="31"/>
      <c r="E1629" s="35"/>
      <c r="F1629" s="129"/>
    </row>
    <row r="1630" spans="2:6" s="7" customFormat="1" ht="13.5">
      <c r="B1630" s="30"/>
      <c r="C1630" s="30"/>
      <c r="D1630" s="31"/>
      <c r="E1630" s="35"/>
      <c r="F1630" s="129"/>
    </row>
    <row r="1631" spans="2:6" s="7" customFormat="1" ht="13.5">
      <c r="B1631" s="30"/>
      <c r="C1631" s="30"/>
      <c r="D1631" s="31"/>
      <c r="E1631" s="35"/>
      <c r="F1631" s="129"/>
    </row>
    <row r="1632" spans="2:6" s="7" customFormat="1" ht="13.5">
      <c r="B1632" s="30"/>
      <c r="C1632" s="30"/>
      <c r="D1632" s="31"/>
      <c r="E1632" s="35"/>
      <c r="F1632" s="129"/>
    </row>
    <row r="1633" spans="2:6" s="7" customFormat="1" ht="13.5">
      <c r="B1633" s="30"/>
      <c r="C1633" s="30"/>
      <c r="D1633" s="31"/>
      <c r="E1633" s="35"/>
      <c r="F1633" s="129"/>
    </row>
    <row r="1634" spans="2:6" s="7" customFormat="1" ht="13.5">
      <c r="B1634" s="30"/>
      <c r="C1634" s="30"/>
      <c r="D1634" s="31"/>
      <c r="E1634" s="35"/>
      <c r="F1634" s="129"/>
    </row>
    <row r="1635" spans="2:6" s="7" customFormat="1" ht="13.5">
      <c r="B1635" s="30"/>
      <c r="C1635" s="30"/>
      <c r="D1635" s="31"/>
      <c r="E1635" s="35"/>
      <c r="F1635" s="129"/>
    </row>
    <row r="1636" spans="2:6" s="7" customFormat="1" ht="13.5">
      <c r="B1636" s="30"/>
      <c r="C1636" s="30"/>
      <c r="D1636" s="31"/>
      <c r="E1636" s="35"/>
      <c r="F1636" s="129"/>
    </row>
    <row r="1637" spans="2:6" s="7" customFormat="1" ht="13.5">
      <c r="B1637" s="30"/>
      <c r="C1637" s="30"/>
      <c r="D1637" s="31"/>
      <c r="E1637" s="35"/>
      <c r="F1637" s="129"/>
    </row>
    <row r="1638" spans="2:6" s="7" customFormat="1" ht="13.5">
      <c r="B1638" s="30"/>
      <c r="C1638" s="30"/>
      <c r="D1638" s="31"/>
      <c r="E1638" s="35"/>
      <c r="F1638" s="129"/>
    </row>
    <row r="1639" spans="2:6" s="7" customFormat="1" ht="13.5">
      <c r="B1639" s="30"/>
      <c r="C1639" s="30"/>
      <c r="D1639" s="31"/>
      <c r="E1639" s="35"/>
      <c r="F1639" s="129"/>
    </row>
    <row r="1640" spans="2:6" s="7" customFormat="1" ht="13.5">
      <c r="B1640" s="30"/>
      <c r="C1640" s="30"/>
      <c r="D1640" s="31"/>
      <c r="E1640" s="35"/>
      <c r="F1640" s="129"/>
    </row>
    <row r="1641" spans="2:6" s="7" customFormat="1" ht="13.5">
      <c r="B1641" s="30"/>
      <c r="C1641" s="30"/>
      <c r="D1641" s="31"/>
      <c r="E1641" s="35"/>
      <c r="F1641" s="129"/>
    </row>
    <row r="1642" spans="2:6" s="7" customFormat="1" ht="13.5">
      <c r="B1642" s="30"/>
      <c r="C1642" s="30"/>
      <c r="D1642" s="31"/>
      <c r="E1642" s="35"/>
      <c r="F1642" s="129"/>
    </row>
    <row r="1643" spans="2:6" s="7" customFormat="1" ht="13.5">
      <c r="B1643" s="30"/>
      <c r="C1643" s="30"/>
      <c r="D1643" s="31"/>
      <c r="E1643" s="35"/>
      <c r="F1643" s="129"/>
    </row>
    <row r="1644" spans="2:6" s="7" customFormat="1" ht="13.5">
      <c r="B1644" s="30"/>
      <c r="C1644" s="30"/>
      <c r="D1644" s="31"/>
      <c r="E1644" s="35"/>
      <c r="F1644" s="129"/>
    </row>
    <row r="1645" spans="2:6" s="7" customFormat="1" ht="13.5">
      <c r="B1645" s="30"/>
      <c r="C1645" s="30"/>
      <c r="D1645" s="31"/>
      <c r="E1645" s="35"/>
      <c r="F1645" s="129"/>
    </row>
    <row r="1646" spans="2:6" s="7" customFormat="1" ht="13.5">
      <c r="B1646" s="30"/>
      <c r="C1646" s="30"/>
      <c r="D1646" s="31"/>
      <c r="E1646" s="35"/>
      <c r="F1646" s="129"/>
    </row>
    <row r="1647" spans="2:6" s="7" customFormat="1" ht="13.5">
      <c r="B1647" s="30"/>
      <c r="C1647" s="30"/>
      <c r="D1647" s="31"/>
      <c r="E1647" s="35"/>
      <c r="F1647" s="129"/>
    </row>
    <row r="1648" spans="2:6" s="7" customFormat="1" ht="13.5">
      <c r="B1648" s="30"/>
      <c r="C1648" s="30"/>
      <c r="D1648" s="31"/>
      <c r="E1648" s="35"/>
      <c r="F1648" s="129"/>
    </row>
    <row r="1649" spans="2:6" s="7" customFormat="1" ht="13.5">
      <c r="B1649" s="30"/>
      <c r="C1649" s="30"/>
      <c r="D1649" s="31"/>
      <c r="E1649" s="35"/>
      <c r="F1649" s="129"/>
    </row>
    <row r="1650" spans="2:6" s="7" customFormat="1" ht="13.5">
      <c r="B1650" s="30"/>
      <c r="C1650" s="30"/>
      <c r="D1650" s="31"/>
      <c r="E1650" s="35"/>
      <c r="F1650" s="129"/>
    </row>
    <row r="1651" spans="2:6" s="7" customFormat="1" ht="13.5">
      <c r="B1651" s="30"/>
      <c r="C1651" s="30"/>
      <c r="D1651" s="31"/>
      <c r="E1651" s="35"/>
      <c r="F1651" s="129"/>
    </row>
    <row r="1652" spans="2:6" s="7" customFormat="1" ht="13.5">
      <c r="B1652" s="30"/>
      <c r="C1652" s="30"/>
      <c r="D1652" s="31"/>
      <c r="E1652" s="35"/>
      <c r="F1652" s="129"/>
    </row>
    <row r="1653" spans="2:6" s="7" customFormat="1" ht="13.5">
      <c r="B1653" s="30"/>
      <c r="C1653" s="30"/>
      <c r="D1653" s="31"/>
      <c r="E1653" s="35"/>
      <c r="F1653" s="129"/>
    </row>
    <row r="1654" spans="2:6" s="7" customFormat="1" ht="13.5">
      <c r="B1654" s="30"/>
      <c r="C1654" s="30"/>
      <c r="D1654" s="31"/>
      <c r="E1654" s="35"/>
      <c r="F1654" s="129"/>
    </row>
    <row r="1655" spans="2:6" s="7" customFormat="1" ht="13.5">
      <c r="B1655" s="30"/>
      <c r="C1655" s="30"/>
      <c r="D1655" s="31"/>
      <c r="E1655" s="35"/>
      <c r="F1655" s="129"/>
    </row>
    <row r="1656" spans="2:6" s="7" customFormat="1" ht="13.5">
      <c r="B1656" s="30"/>
      <c r="C1656" s="30"/>
      <c r="D1656" s="31"/>
      <c r="E1656" s="35"/>
      <c r="F1656" s="129"/>
    </row>
    <row r="1657" spans="2:6" s="7" customFormat="1" ht="13.5">
      <c r="B1657" s="30"/>
      <c r="C1657" s="30"/>
      <c r="D1657" s="31"/>
      <c r="E1657" s="35"/>
      <c r="F1657" s="129"/>
    </row>
    <row r="1658" spans="2:6" s="7" customFormat="1" ht="13.5">
      <c r="B1658" s="30"/>
      <c r="C1658" s="30"/>
      <c r="D1658" s="31"/>
      <c r="E1658" s="35"/>
      <c r="F1658" s="129"/>
    </row>
    <row r="1659" spans="2:6" s="7" customFormat="1" ht="13.5">
      <c r="B1659" s="30"/>
      <c r="C1659" s="30"/>
      <c r="D1659" s="31"/>
      <c r="E1659" s="35"/>
      <c r="F1659" s="129"/>
    </row>
    <row r="1660" spans="2:6" s="7" customFormat="1" ht="13.5">
      <c r="B1660" s="30"/>
      <c r="C1660" s="30"/>
      <c r="D1660" s="31"/>
      <c r="E1660" s="35"/>
      <c r="F1660" s="129"/>
    </row>
    <row r="1661" spans="2:6" s="7" customFormat="1" ht="13.5">
      <c r="B1661" s="30"/>
      <c r="C1661" s="30"/>
      <c r="D1661" s="31"/>
      <c r="E1661" s="35"/>
      <c r="F1661" s="129"/>
    </row>
    <row r="1662" spans="2:6" s="7" customFormat="1" ht="13.5">
      <c r="B1662" s="30"/>
      <c r="C1662" s="30"/>
      <c r="D1662" s="31"/>
      <c r="E1662" s="35"/>
      <c r="F1662" s="129"/>
    </row>
    <row r="1663" spans="2:6" s="7" customFormat="1" ht="13.5">
      <c r="B1663" s="30"/>
      <c r="C1663" s="30"/>
      <c r="D1663" s="31"/>
      <c r="E1663" s="35"/>
      <c r="F1663" s="129"/>
    </row>
    <row r="1664" spans="2:6" s="7" customFormat="1" ht="13.5">
      <c r="B1664" s="30"/>
      <c r="C1664" s="30"/>
      <c r="D1664" s="31"/>
      <c r="E1664" s="35"/>
      <c r="F1664" s="129"/>
    </row>
    <row r="1665" spans="2:6" s="7" customFormat="1" ht="13.5">
      <c r="B1665" s="30"/>
      <c r="C1665" s="30"/>
      <c r="D1665" s="31"/>
      <c r="E1665" s="35"/>
      <c r="F1665" s="129"/>
    </row>
    <row r="1666" spans="2:6" s="7" customFormat="1" ht="13.5">
      <c r="B1666" s="30"/>
      <c r="C1666" s="30"/>
      <c r="D1666" s="31"/>
      <c r="E1666" s="35"/>
      <c r="F1666" s="129"/>
    </row>
    <row r="1667" spans="2:6" s="7" customFormat="1" ht="13.5">
      <c r="B1667" s="30"/>
      <c r="C1667" s="30"/>
      <c r="D1667" s="31"/>
      <c r="E1667" s="35"/>
      <c r="F1667" s="129"/>
    </row>
    <row r="1668" spans="2:6" s="7" customFormat="1" ht="13.5">
      <c r="B1668" s="30"/>
      <c r="C1668" s="30"/>
      <c r="D1668" s="31"/>
      <c r="E1668" s="35"/>
      <c r="F1668" s="129"/>
    </row>
    <row r="1669" spans="2:6" s="7" customFormat="1" ht="13.5">
      <c r="B1669" s="30"/>
      <c r="C1669" s="30"/>
      <c r="D1669" s="31"/>
      <c r="E1669" s="35"/>
      <c r="F1669" s="129"/>
    </row>
    <row r="1670" spans="2:6" s="7" customFormat="1" ht="13.5">
      <c r="B1670" s="30"/>
      <c r="C1670" s="30"/>
      <c r="D1670" s="31"/>
      <c r="E1670" s="35"/>
      <c r="F1670" s="129"/>
    </row>
    <row r="1671" spans="2:6" s="7" customFormat="1" ht="13.5">
      <c r="B1671" s="30"/>
      <c r="C1671" s="30"/>
      <c r="D1671" s="31"/>
      <c r="E1671" s="35"/>
      <c r="F1671" s="129"/>
    </row>
    <row r="1672" spans="2:6" s="7" customFormat="1" ht="13.5">
      <c r="B1672" s="30"/>
      <c r="C1672" s="30"/>
      <c r="D1672" s="31"/>
      <c r="E1672" s="35"/>
      <c r="F1672" s="129"/>
    </row>
    <row r="1673" spans="2:6" s="7" customFormat="1" ht="13.5">
      <c r="B1673" s="30"/>
      <c r="C1673" s="30"/>
      <c r="D1673" s="31"/>
      <c r="E1673" s="35"/>
      <c r="F1673" s="129"/>
    </row>
    <row r="1674" spans="2:6" s="7" customFormat="1" ht="13.5">
      <c r="B1674" s="30"/>
      <c r="C1674" s="30"/>
      <c r="D1674" s="31"/>
      <c r="E1674" s="35"/>
      <c r="F1674" s="129"/>
    </row>
    <row r="1675" spans="2:6" s="7" customFormat="1" ht="13.5">
      <c r="B1675" s="30"/>
      <c r="C1675" s="30"/>
      <c r="D1675" s="31"/>
      <c r="E1675" s="35"/>
      <c r="F1675" s="129"/>
    </row>
    <row r="1676" spans="2:6" s="7" customFormat="1" ht="13.5">
      <c r="B1676" s="30"/>
      <c r="C1676" s="30"/>
      <c r="D1676" s="31"/>
      <c r="E1676" s="35"/>
      <c r="F1676" s="129"/>
    </row>
    <row r="1677" spans="2:6" s="7" customFormat="1" ht="13.5">
      <c r="B1677" s="30"/>
      <c r="C1677" s="30"/>
      <c r="D1677" s="31"/>
      <c r="E1677" s="35"/>
      <c r="F1677" s="129"/>
    </row>
    <row r="1678" spans="2:6" s="7" customFormat="1" ht="13.5">
      <c r="B1678" s="30"/>
      <c r="C1678" s="30"/>
      <c r="D1678" s="31"/>
      <c r="E1678" s="35"/>
      <c r="F1678" s="129"/>
    </row>
    <row r="1679" spans="2:6" s="7" customFormat="1" ht="13.5">
      <c r="B1679" s="30"/>
      <c r="C1679" s="30"/>
      <c r="D1679" s="31"/>
      <c r="E1679" s="35"/>
      <c r="F1679" s="129"/>
    </row>
    <row r="1680" spans="2:6" s="7" customFormat="1" ht="13.5">
      <c r="B1680" s="30"/>
      <c r="C1680" s="30"/>
      <c r="D1680" s="31"/>
      <c r="E1680" s="35"/>
      <c r="F1680" s="129"/>
    </row>
    <row r="1681" spans="2:6" s="7" customFormat="1" ht="13.5">
      <c r="B1681" s="30"/>
      <c r="C1681" s="30"/>
      <c r="D1681" s="31"/>
      <c r="E1681" s="35"/>
      <c r="F1681" s="129"/>
    </row>
    <row r="1682" spans="2:6" s="7" customFormat="1" ht="13.5">
      <c r="B1682" s="30"/>
      <c r="C1682" s="30"/>
      <c r="D1682" s="31"/>
      <c r="E1682" s="35"/>
      <c r="F1682" s="129"/>
    </row>
    <row r="1683" spans="2:6" s="7" customFormat="1" ht="13.5">
      <c r="B1683" s="30"/>
      <c r="C1683" s="30"/>
      <c r="D1683" s="31"/>
      <c r="E1683" s="35"/>
      <c r="F1683" s="129"/>
    </row>
    <row r="1684" spans="2:6" s="7" customFormat="1" ht="13.5">
      <c r="B1684" s="30"/>
      <c r="C1684" s="30"/>
      <c r="D1684" s="31"/>
      <c r="E1684" s="35"/>
      <c r="F1684" s="129"/>
    </row>
    <row r="1685" spans="2:6" s="7" customFormat="1" ht="13.5">
      <c r="B1685" s="30"/>
      <c r="C1685" s="30"/>
      <c r="D1685" s="31"/>
      <c r="E1685" s="35"/>
      <c r="F1685" s="129"/>
    </row>
    <row r="1686" spans="2:6" s="7" customFormat="1" ht="13.5">
      <c r="B1686" s="30"/>
      <c r="C1686" s="30"/>
      <c r="D1686" s="31"/>
      <c r="E1686" s="35"/>
      <c r="F1686" s="129"/>
    </row>
    <row r="1687" spans="2:6" s="7" customFormat="1" ht="13.5">
      <c r="B1687" s="30"/>
      <c r="C1687" s="30"/>
      <c r="D1687" s="31"/>
      <c r="E1687" s="35"/>
      <c r="F1687" s="129"/>
    </row>
    <row r="1688" spans="2:6" s="7" customFormat="1" ht="13.5">
      <c r="B1688" s="30"/>
      <c r="C1688" s="30"/>
      <c r="D1688" s="31"/>
      <c r="E1688" s="35"/>
      <c r="F1688" s="129"/>
    </row>
    <row r="1689" spans="2:6" s="7" customFormat="1" ht="13.5">
      <c r="B1689" s="30"/>
      <c r="C1689" s="30"/>
      <c r="D1689" s="31"/>
      <c r="E1689" s="35"/>
      <c r="F1689" s="129"/>
    </row>
    <row r="1690" spans="2:6" s="7" customFormat="1" ht="13.5">
      <c r="B1690" s="30"/>
      <c r="C1690" s="30"/>
      <c r="D1690" s="31"/>
      <c r="E1690" s="35"/>
      <c r="F1690" s="129"/>
    </row>
    <row r="1691" spans="2:6" s="7" customFormat="1" ht="13.5">
      <c r="B1691" s="30"/>
      <c r="C1691" s="30"/>
      <c r="D1691" s="31"/>
      <c r="E1691" s="35"/>
      <c r="F1691" s="129"/>
    </row>
    <row r="1692" spans="2:6" s="7" customFormat="1" ht="13.5">
      <c r="B1692" s="30"/>
      <c r="C1692" s="30"/>
      <c r="D1692" s="31"/>
      <c r="E1692" s="35"/>
      <c r="F1692" s="129"/>
    </row>
    <row r="1693" spans="2:6" s="7" customFormat="1" ht="13.5">
      <c r="B1693" s="30"/>
      <c r="C1693" s="30"/>
      <c r="D1693" s="31"/>
      <c r="E1693" s="35"/>
      <c r="F1693" s="129"/>
    </row>
    <row r="1694" spans="2:6" s="7" customFormat="1" ht="13.5">
      <c r="B1694" s="30"/>
      <c r="C1694" s="30"/>
      <c r="D1694" s="31"/>
      <c r="E1694" s="35"/>
      <c r="F1694" s="129"/>
    </row>
    <row r="1695" spans="2:6" s="7" customFormat="1" ht="13.5">
      <c r="B1695" s="30"/>
      <c r="C1695" s="30"/>
      <c r="D1695" s="31"/>
      <c r="E1695" s="35"/>
      <c r="F1695" s="129"/>
    </row>
    <row r="1696" spans="2:6" s="7" customFormat="1" ht="13.5">
      <c r="B1696" s="30"/>
      <c r="C1696" s="30"/>
      <c r="D1696" s="31"/>
      <c r="E1696" s="35"/>
      <c r="F1696" s="129"/>
    </row>
    <row r="1697" spans="2:6" s="7" customFormat="1" ht="13.5">
      <c r="B1697" s="30"/>
      <c r="C1697" s="30"/>
      <c r="D1697" s="31"/>
      <c r="E1697" s="35"/>
      <c r="F1697" s="129"/>
    </row>
    <row r="1698" spans="2:6" s="7" customFormat="1" ht="13.5">
      <c r="B1698" s="30"/>
      <c r="C1698" s="30"/>
      <c r="D1698" s="31"/>
      <c r="E1698" s="35"/>
      <c r="F1698" s="129"/>
    </row>
    <row r="1699" spans="2:6" s="7" customFormat="1" ht="13.5">
      <c r="B1699" s="30"/>
      <c r="C1699" s="30"/>
      <c r="D1699" s="31"/>
      <c r="E1699" s="35"/>
      <c r="F1699" s="129"/>
    </row>
    <row r="1700" spans="2:6" s="7" customFormat="1" ht="13.5">
      <c r="B1700" s="30"/>
      <c r="C1700" s="30"/>
      <c r="D1700" s="31"/>
      <c r="E1700" s="35"/>
      <c r="F1700" s="129"/>
    </row>
    <row r="1701" spans="2:6" s="7" customFormat="1" ht="13.5">
      <c r="B1701" s="30"/>
      <c r="C1701" s="30"/>
      <c r="D1701" s="31"/>
      <c r="E1701" s="35"/>
      <c r="F1701" s="129"/>
    </row>
    <row r="1702" spans="2:6" s="7" customFormat="1" ht="13.5">
      <c r="B1702" s="30"/>
      <c r="C1702" s="30"/>
      <c r="D1702" s="31"/>
      <c r="E1702" s="35"/>
      <c r="F1702" s="129"/>
    </row>
    <row r="1703" spans="2:6" s="7" customFormat="1" ht="13.5">
      <c r="B1703" s="30"/>
      <c r="C1703" s="30"/>
      <c r="D1703" s="31"/>
      <c r="E1703" s="35"/>
      <c r="F1703" s="129"/>
    </row>
    <row r="1704" spans="2:6" s="7" customFormat="1" ht="13.5">
      <c r="B1704" s="30"/>
      <c r="C1704" s="30"/>
      <c r="D1704" s="31"/>
      <c r="E1704" s="35"/>
      <c r="F1704" s="129"/>
    </row>
    <row r="1705" spans="2:6" s="7" customFormat="1" ht="13.5">
      <c r="B1705" s="30"/>
      <c r="C1705" s="30"/>
      <c r="D1705" s="31"/>
      <c r="E1705" s="35"/>
      <c r="F1705" s="129"/>
    </row>
    <row r="1706" spans="2:6" s="7" customFormat="1" ht="13.5">
      <c r="B1706" s="30"/>
      <c r="C1706" s="30"/>
      <c r="D1706" s="31"/>
      <c r="E1706" s="35"/>
      <c r="F1706" s="129"/>
    </row>
    <row r="1707" spans="2:6" s="7" customFormat="1" ht="13.5">
      <c r="B1707" s="30"/>
      <c r="C1707" s="30"/>
      <c r="D1707" s="31"/>
      <c r="E1707" s="35"/>
      <c r="F1707" s="129"/>
    </row>
    <row r="1708" spans="2:6" s="7" customFormat="1" ht="13.5">
      <c r="B1708" s="30"/>
      <c r="C1708" s="30"/>
      <c r="D1708" s="31"/>
      <c r="E1708" s="35"/>
      <c r="F1708" s="129"/>
    </row>
    <row r="1709" spans="2:6" s="7" customFormat="1" ht="13.5">
      <c r="B1709" s="30"/>
      <c r="C1709" s="30"/>
      <c r="D1709" s="31"/>
      <c r="E1709" s="35"/>
      <c r="F1709" s="129"/>
    </row>
    <row r="1710" spans="2:6" s="7" customFormat="1" ht="13.5">
      <c r="B1710" s="30"/>
      <c r="C1710" s="30"/>
      <c r="D1710" s="31"/>
      <c r="E1710" s="35"/>
      <c r="F1710" s="129"/>
    </row>
    <row r="1711" spans="2:6" s="7" customFormat="1" ht="13.5">
      <c r="B1711" s="30"/>
      <c r="C1711" s="30"/>
      <c r="D1711" s="31"/>
      <c r="E1711" s="35"/>
      <c r="F1711" s="129"/>
    </row>
    <row r="1712" spans="2:6" s="7" customFormat="1" ht="13.5">
      <c r="B1712" s="30"/>
      <c r="C1712" s="30"/>
      <c r="D1712" s="31"/>
      <c r="E1712" s="35"/>
      <c r="F1712" s="129"/>
    </row>
    <row r="1713" spans="2:6" s="7" customFormat="1" ht="13.5">
      <c r="B1713" s="30"/>
      <c r="C1713" s="30"/>
      <c r="D1713" s="31"/>
      <c r="E1713" s="35"/>
      <c r="F1713" s="129"/>
    </row>
    <row r="1714" spans="2:6" s="7" customFormat="1" ht="13.5">
      <c r="B1714" s="30"/>
      <c r="C1714" s="30"/>
      <c r="D1714" s="31"/>
      <c r="E1714" s="35"/>
      <c r="F1714" s="129"/>
    </row>
    <row r="1715" spans="2:6" s="7" customFormat="1" ht="13.5">
      <c r="B1715" s="30"/>
      <c r="C1715" s="30"/>
      <c r="D1715" s="31"/>
      <c r="E1715" s="35"/>
      <c r="F1715" s="129"/>
    </row>
    <row r="1716" spans="2:6" s="7" customFormat="1" ht="13.5">
      <c r="B1716" s="30"/>
      <c r="C1716" s="30"/>
      <c r="D1716" s="31"/>
      <c r="E1716" s="35"/>
      <c r="F1716" s="129"/>
    </row>
    <row r="1717" spans="2:6" s="7" customFormat="1" ht="13.5">
      <c r="B1717" s="30"/>
      <c r="C1717" s="30"/>
      <c r="D1717" s="31"/>
      <c r="E1717" s="35"/>
      <c r="F1717" s="129"/>
    </row>
    <row r="1718" spans="2:6" s="7" customFormat="1" ht="13.5">
      <c r="B1718" s="30"/>
      <c r="C1718" s="30"/>
      <c r="D1718" s="31"/>
      <c r="E1718" s="35"/>
      <c r="F1718" s="129"/>
    </row>
    <row r="1719" spans="2:6" s="7" customFormat="1" ht="13.5">
      <c r="B1719" s="30"/>
      <c r="C1719" s="30"/>
      <c r="D1719" s="31"/>
      <c r="E1719" s="35"/>
      <c r="F1719" s="129"/>
    </row>
    <row r="1720" spans="2:6" s="7" customFormat="1" ht="13.5">
      <c r="B1720" s="30"/>
      <c r="C1720" s="30"/>
      <c r="D1720" s="31"/>
      <c r="E1720" s="35"/>
      <c r="F1720" s="129"/>
    </row>
    <row r="1721" spans="2:6" s="7" customFormat="1" ht="13.5">
      <c r="B1721" s="30"/>
      <c r="C1721" s="30"/>
      <c r="D1721" s="31"/>
      <c r="E1721" s="35"/>
      <c r="F1721" s="129"/>
    </row>
    <row r="1722" spans="2:6" s="7" customFormat="1" ht="13.5">
      <c r="B1722" s="30"/>
      <c r="C1722" s="30"/>
      <c r="D1722" s="31"/>
      <c r="E1722" s="35"/>
      <c r="F1722" s="129"/>
    </row>
    <row r="1723" spans="2:6" s="7" customFormat="1" ht="13.5">
      <c r="B1723" s="30"/>
      <c r="C1723" s="30"/>
      <c r="D1723" s="31"/>
      <c r="E1723" s="35"/>
      <c r="F1723" s="129"/>
    </row>
    <row r="1724" spans="2:6" s="7" customFormat="1" ht="13.5">
      <c r="B1724" s="30"/>
      <c r="C1724" s="30"/>
      <c r="D1724" s="31"/>
      <c r="E1724" s="35"/>
      <c r="F1724" s="129"/>
    </row>
    <row r="1725" spans="2:6" s="7" customFormat="1" ht="13.5">
      <c r="B1725" s="30"/>
      <c r="C1725" s="30"/>
      <c r="D1725" s="31"/>
      <c r="E1725" s="35"/>
      <c r="F1725" s="129"/>
    </row>
    <row r="1726" spans="2:6" s="7" customFormat="1" ht="13.5">
      <c r="B1726" s="30"/>
      <c r="C1726" s="30"/>
      <c r="D1726" s="31"/>
      <c r="E1726" s="35"/>
      <c r="F1726" s="129"/>
    </row>
    <row r="1727" spans="2:6" s="7" customFormat="1" ht="13.5">
      <c r="B1727" s="30"/>
      <c r="C1727" s="30"/>
      <c r="D1727" s="31"/>
      <c r="E1727" s="35"/>
      <c r="F1727" s="129"/>
    </row>
    <row r="1728" spans="2:6" s="7" customFormat="1" ht="13.5">
      <c r="B1728" s="30"/>
      <c r="C1728" s="30"/>
      <c r="D1728" s="31"/>
      <c r="E1728" s="35"/>
      <c r="F1728" s="129"/>
    </row>
    <row r="1729" spans="2:6" s="7" customFormat="1" ht="13.5">
      <c r="B1729" s="30"/>
      <c r="C1729" s="30"/>
      <c r="D1729" s="31"/>
      <c r="E1729" s="35"/>
      <c r="F1729" s="129"/>
    </row>
    <row r="1730" spans="2:6" s="7" customFormat="1" ht="13.5">
      <c r="B1730" s="30"/>
      <c r="C1730" s="30"/>
      <c r="D1730" s="31"/>
      <c r="E1730" s="35"/>
      <c r="F1730" s="129"/>
    </row>
    <row r="1731" spans="2:6" s="7" customFormat="1" ht="13.5">
      <c r="B1731" s="30"/>
      <c r="C1731" s="30"/>
      <c r="D1731" s="31"/>
      <c r="E1731" s="35"/>
      <c r="F1731" s="129"/>
    </row>
    <row r="1732" spans="2:6" s="7" customFormat="1" ht="13.5">
      <c r="B1732" s="30"/>
      <c r="C1732" s="30"/>
      <c r="D1732" s="31"/>
      <c r="E1732" s="35"/>
      <c r="F1732" s="129"/>
    </row>
    <row r="1733" spans="2:6" s="7" customFormat="1" ht="13.5">
      <c r="B1733" s="30"/>
      <c r="C1733" s="30"/>
      <c r="D1733" s="31"/>
      <c r="E1733" s="35"/>
      <c r="F1733" s="129"/>
    </row>
    <row r="1734" spans="2:6" s="7" customFormat="1" ht="13.5">
      <c r="B1734" s="30"/>
      <c r="C1734" s="30"/>
      <c r="D1734" s="31"/>
      <c r="E1734" s="35"/>
      <c r="F1734" s="129"/>
    </row>
    <row r="1735" spans="2:6" s="7" customFormat="1" ht="13.5">
      <c r="B1735" s="30"/>
      <c r="C1735" s="30"/>
      <c r="D1735" s="31"/>
      <c r="E1735" s="35"/>
      <c r="F1735" s="129"/>
    </row>
    <row r="1736" spans="2:6" s="7" customFormat="1" ht="13.5">
      <c r="B1736" s="30"/>
      <c r="C1736" s="30"/>
      <c r="D1736" s="31"/>
      <c r="E1736" s="35"/>
      <c r="F1736" s="129"/>
    </row>
    <row r="1737" spans="2:6" s="7" customFormat="1" ht="13.5">
      <c r="B1737" s="30"/>
      <c r="C1737" s="30"/>
      <c r="D1737" s="31"/>
      <c r="E1737" s="35"/>
      <c r="F1737" s="129"/>
    </row>
    <row r="1738" spans="2:6" s="7" customFormat="1" ht="13.5">
      <c r="B1738" s="30"/>
      <c r="C1738" s="30"/>
      <c r="D1738" s="31"/>
      <c r="E1738" s="35"/>
      <c r="F1738" s="129"/>
    </row>
    <row r="1739" spans="2:6" s="7" customFormat="1" ht="13.5">
      <c r="B1739" s="30"/>
      <c r="C1739" s="30"/>
      <c r="D1739" s="31"/>
      <c r="E1739" s="35"/>
      <c r="F1739" s="129"/>
    </row>
    <row r="1740" spans="2:6" s="7" customFormat="1" ht="13.5">
      <c r="B1740" s="30"/>
      <c r="C1740" s="30"/>
      <c r="D1740" s="31"/>
      <c r="E1740" s="35"/>
      <c r="F1740" s="129"/>
    </row>
    <row r="1741" spans="2:6" s="7" customFormat="1" ht="13.5">
      <c r="B1741" s="30"/>
      <c r="C1741" s="30"/>
      <c r="D1741" s="31"/>
      <c r="E1741" s="35"/>
      <c r="F1741" s="129"/>
    </row>
    <row r="1742" spans="2:6" s="7" customFormat="1" ht="13.5">
      <c r="B1742" s="30"/>
      <c r="C1742" s="30"/>
      <c r="D1742" s="31"/>
      <c r="E1742" s="35"/>
      <c r="F1742" s="129"/>
    </row>
    <row r="1743" spans="2:6" s="7" customFormat="1" ht="13.5">
      <c r="B1743" s="30"/>
      <c r="C1743" s="30"/>
      <c r="D1743" s="31"/>
      <c r="E1743" s="35"/>
      <c r="F1743" s="129"/>
    </row>
    <row r="1744" spans="2:6" s="7" customFormat="1" ht="13.5">
      <c r="B1744" s="30"/>
      <c r="C1744" s="30"/>
      <c r="D1744" s="31"/>
      <c r="E1744" s="35"/>
      <c r="F1744" s="129"/>
    </row>
    <row r="1745" spans="2:6" s="7" customFormat="1" ht="13.5">
      <c r="B1745" s="30"/>
      <c r="C1745" s="30"/>
      <c r="D1745" s="31"/>
      <c r="E1745" s="35"/>
      <c r="F1745" s="129"/>
    </row>
    <row r="1746" spans="2:6" s="7" customFormat="1" ht="13.5">
      <c r="B1746" s="30"/>
      <c r="C1746" s="30"/>
      <c r="D1746" s="31"/>
      <c r="E1746" s="35"/>
      <c r="F1746" s="129"/>
    </row>
    <row r="1747" spans="2:6" s="7" customFormat="1" ht="13.5">
      <c r="B1747" s="30"/>
      <c r="C1747" s="30"/>
      <c r="D1747" s="31"/>
      <c r="E1747" s="35"/>
      <c r="F1747" s="129"/>
    </row>
    <row r="1748" spans="2:6" s="7" customFormat="1" ht="13.5">
      <c r="B1748" s="30"/>
      <c r="C1748" s="30"/>
      <c r="D1748" s="31"/>
      <c r="E1748" s="35"/>
      <c r="F1748" s="129"/>
    </row>
    <row r="1749" spans="2:6" s="7" customFormat="1" ht="13.5">
      <c r="B1749" s="30"/>
      <c r="C1749" s="30"/>
      <c r="D1749" s="31"/>
      <c r="E1749" s="35"/>
      <c r="F1749" s="129"/>
    </row>
    <row r="1750" spans="2:6" s="7" customFormat="1" ht="13.5">
      <c r="B1750" s="30"/>
      <c r="C1750" s="30"/>
      <c r="D1750" s="31"/>
      <c r="E1750" s="35"/>
      <c r="F1750" s="129"/>
    </row>
    <row r="1751" spans="2:6" s="7" customFormat="1" ht="13.5">
      <c r="B1751" s="30"/>
      <c r="C1751" s="30"/>
      <c r="D1751" s="31"/>
      <c r="E1751" s="35"/>
      <c r="F1751" s="129"/>
    </row>
    <row r="1752" spans="2:6" s="7" customFormat="1" ht="13.5">
      <c r="B1752" s="30"/>
      <c r="C1752" s="30"/>
      <c r="D1752" s="31"/>
      <c r="E1752" s="35"/>
      <c r="F1752" s="129"/>
    </row>
    <row r="1753" spans="2:6" s="7" customFormat="1" ht="13.5">
      <c r="B1753" s="30"/>
      <c r="C1753" s="30"/>
      <c r="D1753" s="31"/>
      <c r="E1753" s="35"/>
      <c r="F1753" s="129"/>
    </row>
    <row r="1754" spans="2:6" s="7" customFormat="1" ht="13.5">
      <c r="B1754" s="30"/>
      <c r="C1754" s="30"/>
      <c r="D1754" s="31"/>
      <c r="E1754" s="35"/>
      <c r="F1754" s="129"/>
    </row>
    <row r="1755" spans="2:6" s="7" customFormat="1" ht="13.5">
      <c r="B1755" s="30"/>
      <c r="C1755" s="30"/>
      <c r="D1755" s="31"/>
      <c r="E1755" s="35"/>
      <c r="F1755" s="129"/>
    </row>
    <row r="1756" spans="2:6" s="7" customFormat="1" ht="13.5">
      <c r="B1756" s="30"/>
      <c r="C1756" s="30"/>
      <c r="D1756" s="31"/>
      <c r="E1756" s="35"/>
      <c r="F1756" s="129"/>
    </row>
    <row r="1757" spans="2:6" s="7" customFormat="1" ht="13.5">
      <c r="B1757" s="30"/>
      <c r="C1757" s="30"/>
      <c r="D1757" s="31"/>
      <c r="E1757" s="35"/>
      <c r="F1757" s="129"/>
    </row>
    <row r="1758" spans="2:6" s="7" customFormat="1" ht="13.5">
      <c r="B1758" s="30"/>
      <c r="C1758" s="30"/>
      <c r="D1758" s="31"/>
      <c r="E1758" s="35"/>
      <c r="F1758" s="129"/>
    </row>
    <row r="1759" spans="2:6" s="7" customFormat="1" ht="13.5">
      <c r="B1759" s="30"/>
      <c r="C1759" s="30"/>
      <c r="D1759" s="31"/>
      <c r="E1759" s="35"/>
      <c r="F1759" s="129"/>
    </row>
    <row r="1760" spans="2:6" s="7" customFormat="1" ht="13.5">
      <c r="B1760" s="30"/>
      <c r="C1760" s="30"/>
      <c r="D1760" s="31"/>
      <c r="E1760" s="35"/>
      <c r="F1760" s="129"/>
    </row>
    <row r="1761" spans="2:6" s="7" customFormat="1" ht="13.5">
      <c r="B1761" s="30"/>
      <c r="C1761" s="30"/>
      <c r="D1761" s="31"/>
      <c r="E1761" s="35"/>
      <c r="F1761" s="129"/>
    </row>
    <row r="1762" spans="2:6" s="7" customFormat="1" ht="13.5">
      <c r="B1762" s="30"/>
      <c r="C1762" s="30"/>
      <c r="D1762" s="31"/>
      <c r="E1762" s="35"/>
      <c r="F1762" s="129"/>
    </row>
    <row r="1763" spans="2:6" s="7" customFormat="1" ht="13.5">
      <c r="B1763" s="30"/>
      <c r="C1763" s="30"/>
      <c r="D1763" s="31"/>
      <c r="E1763" s="35"/>
      <c r="F1763" s="129"/>
    </row>
    <row r="1764" spans="2:6" s="7" customFormat="1" ht="13.5">
      <c r="B1764" s="30"/>
      <c r="C1764" s="30"/>
      <c r="D1764" s="31"/>
      <c r="E1764" s="35"/>
      <c r="F1764" s="129"/>
    </row>
    <row r="1765" spans="2:6" s="7" customFormat="1" ht="13.5">
      <c r="B1765" s="30"/>
      <c r="C1765" s="30"/>
      <c r="D1765" s="31"/>
      <c r="E1765" s="35"/>
      <c r="F1765" s="129"/>
    </row>
    <row r="1766" spans="2:6" s="7" customFormat="1" ht="13.5">
      <c r="B1766" s="30"/>
      <c r="C1766" s="30"/>
      <c r="D1766" s="31"/>
      <c r="E1766" s="35"/>
      <c r="F1766" s="129"/>
    </row>
    <row r="1767" spans="2:6" s="7" customFormat="1" ht="13.5">
      <c r="B1767" s="30"/>
      <c r="C1767" s="30"/>
      <c r="D1767" s="31"/>
      <c r="E1767" s="35"/>
      <c r="F1767" s="129"/>
    </row>
    <row r="1768" spans="2:6" s="7" customFormat="1" ht="13.5">
      <c r="B1768" s="30"/>
      <c r="C1768" s="30"/>
      <c r="D1768" s="31"/>
      <c r="E1768" s="35"/>
      <c r="F1768" s="129"/>
    </row>
    <row r="1769" spans="2:6" s="7" customFormat="1" ht="13.5">
      <c r="B1769" s="30"/>
      <c r="C1769" s="30"/>
      <c r="D1769" s="31"/>
      <c r="E1769" s="35"/>
      <c r="F1769" s="129"/>
    </row>
    <row r="1770" spans="2:6" s="7" customFormat="1" ht="13.5">
      <c r="B1770" s="30"/>
      <c r="C1770" s="30"/>
      <c r="D1770" s="31"/>
      <c r="E1770" s="35"/>
      <c r="F1770" s="129"/>
    </row>
    <row r="1771" spans="2:6" s="7" customFormat="1" ht="13.5">
      <c r="B1771" s="30"/>
      <c r="C1771" s="30"/>
      <c r="D1771" s="31"/>
      <c r="E1771" s="35"/>
      <c r="F1771" s="129"/>
    </row>
    <row r="1772" spans="2:6" s="7" customFormat="1" ht="13.5">
      <c r="B1772" s="30"/>
      <c r="C1772" s="30"/>
      <c r="D1772" s="31"/>
      <c r="E1772" s="35"/>
      <c r="F1772" s="129"/>
    </row>
    <row r="1773" spans="2:6" s="7" customFormat="1" ht="13.5">
      <c r="B1773" s="30"/>
      <c r="C1773" s="30"/>
      <c r="D1773" s="31"/>
      <c r="E1773" s="35"/>
      <c r="F1773" s="129"/>
    </row>
    <row r="1774" spans="2:6" s="7" customFormat="1" ht="13.5">
      <c r="B1774" s="30"/>
      <c r="C1774" s="30"/>
      <c r="D1774" s="31"/>
      <c r="E1774" s="35"/>
      <c r="F1774" s="129"/>
    </row>
    <row r="1775" spans="2:6" s="7" customFormat="1" ht="13.5">
      <c r="B1775" s="30"/>
      <c r="C1775" s="30"/>
      <c r="D1775" s="31"/>
      <c r="E1775" s="35"/>
      <c r="F1775" s="129"/>
    </row>
    <row r="1776" spans="2:6" s="7" customFormat="1" ht="13.5">
      <c r="B1776" s="30"/>
      <c r="C1776" s="30"/>
      <c r="D1776" s="31"/>
      <c r="E1776" s="35"/>
      <c r="F1776" s="129"/>
    </row>
    <row r="1777" spans="2:6" s="7" customFormat="1" ht="13.5">
      <c r="B1777" s="30"/>
      <c r="C1777" s="30"/>
      <c r="D1777" s="31"/>
      <c r="E1777" s="35"/>
      <c r="F1777" s="129"/>
    </row>
    <row r="1778" spans="2:6" s="7" customFormat="1" ht="13.5">
      <c r="B1778" s="30"/>
      <c r="C1778" s="30"/>
      <c r="D1778" s="31"/>
      <c r="E1778" s="35"/>
      <c r="F1778" s="129"/>
    </row>
    <row r="1779" spans="2:6" s="7" customFormat="1" ht="13.5">
      <c r="B1779" s="30"/>
      <c r="C1779" s="30"/>
      <c r="D1779" s="31"/>
      <c r="E1779" s="35"/>
      <c r="F1779" s="129"/>
    </row>
    <row r="1780" spans="2:6" s="7" customFormat="1" ht="13.5">
      <c r="B1780" s="30"/>
      <c r="C1780" s="30"/>
      <c r="D1780" s="31"/>
      <c r="E1780" s="35"/>
      <c r="F1780" s="129"/>
    </row>
    <row r="1781" spans="2:6" s="7" customFormat="1" ht="13.5">
      <c r="B1781" s="30"/>
      <c r="C1781" s="30"/>
      <c r="D1781" s="31"/>
      <c r="E1781" s="35"/>
      <c r="F1781" s="129"/>
    </row>
    <row r="1782" spans="2:6" s="7" customFormat="1" ht="13.5">
      <c r="B1782" s="30"/>
      <c r="C1782" s="30"/>
      <c r="D1782" s="31"/>
      <c r="E1782" s="35"/>
      <c r="F1782" s="129"/>
    </row>
    <row r="1783" spans="2:6" s="7" customFormat="1" ht="13.5">
      <c r="B1783" s="30"/>
      <c r="C1783" s="30"/>
      <c r="D1783" s="31"/>
      <c r="E1783" s="35"/>
      <c r="F1783" s="129"/>
    </row>
    <row r="1784" spans="2:6" s="7" customFormat="1" ht="13.5">
      <c r="B1784" s="30"/>
      <c r="C1784" s="30"/>
      <c r="D1784" s="31"/>
      <c r="E1784" s="35"/>
      <c r="F1784" s="129"/>
    </row>
    <row r="1785" spans="2:6" s="7" customFormat="1" ht="13.5">
      <c r="B1785" s="30"/>
      <c r="C1785" s="30"/>
      <c r="D1785" s="31"/>
      <c r="E1785" s="35"/>
      <c r="F1785" s="129"/>
    </row>
    <row r="1786" spans="2:6" s="7" customFormat="1" ht="13.5">
      <c r="B1786" s="30"/>
      <c r="C1786" s="30"/>
      <c r="D1786" s="31"/>
      <c r="E1786" s="35"/>
      <c r="F1786" s="129"/>
    </row>
    <row r="1787" spans="2:6" s="7" customFormat="1" ht="13.5">
      <c r="B1787" s="30"/>
      <c r="C1787" s="30"/>
      <c r="D1787" s="31"/>
      <c r="E1787" s="35"/>
      <c r="F1787" s="129"/>
    </row>
    <row r="1788" spans="2:6" s="7" customFormat="1" ht="13.5">
      <c r="B1788" s="30"/>
      <c r="C1788" s="30"/>
      <c r="D1788" s="31"/>
      <c r="E1788" s="35"/>
      <c r="F1788" s="129"/>
    </row>
    <row r="1789" spans="2:6" s="7" customFormat="1" ht="13.5">
      <c r="B1789" s="30"/>
      <c r="C1789" s="30"/>
      <c r="D1789" s="31"/>
      <c r="E1789" s="35"/>
      <c r="F1789" s="129"/>
    </row>
    <row r="1790" spans="2:6" s="7" customFormat="1" ht="13.5">
      <c r="B1790" s="30"/>
      <c r="C1790" s="30"/>
      <c r="D1790" s="31"/>
      <c r="E1790" s="35"/>
      <c r="F1790" s="129"/>
    </row>
    <row r="1791" spans="2:6" s="7" customFormat="1" ht="13.5">
      <c r="B1791" s="30"/>
      <c r="C1791" s="30"/>
      <c r="D1791" s="31"/>
      <c r="E1791" s="35"/>
      <c r="F1791" s="129"/>
    </row>
    <row r="1792" spans="2:6" s="7" customFormat="1" ht="13.5">
      <c r="B1792" s="30"/>
      <c r="C1792" s="30"/>
      <c r="D1792" s="31"/>
      <c r="E1792" s="35"/>
      <c r="F1792" s="129"/>
    </row>
    <row r="1793" spans="2:6" s="7" customFormat="1" ht="13.5">
      <c r="B1793" s="30"/>
      <c r="C1793" s="30"/>
      <c r="D1793" s="31"/>
      <c r="E1793" s="35"/>
      <c r="F1793" s="129"/>
    </row>
    <row r="1794" spans="2:6" s="7" customFormat="1" ht="13.5">
      <c r="B1794" s="30"/>
      <c r="C1794" s="30"/>
      <c r="D1794" s="31"/>
      <c r="E1794" s="35"/>
      <c r="F1794" s="129"/>
    </row>
    <row r="1795" spans="2:6" s="7" customFormat="1" ht="13.5">
      <c r="B1795" s="30"/>
      <c r="C1795" s="30"/>
      <c r="D1795" s="31"/>
      <c r="E1795" s="35"/>
      <c r="F1795" s="129"/>
    </row>
    <row r="1796" spans="2:6" s="7" customFormat="1" ht="13.5">
      <c r="B1796" s="30"/>
      <c r="C1796" s="30"/>
      <c r="D1796" s="31"/>
      <c r="E1796" s="35"/>
      <c r="F1796" s="129"/>
    </row>
    <row r="1797" spans="2:6" s="7" customFormat="1" ht="13.5">
      <c r="B1797" s="30"/>
      <c r="C1797" s="30"/>
      <c r="D1797" s="31"/>
      <c r="E1797" s="35"/>
      <c r="F1797" s="129"/>
    </row>
    <row r="1798" spans="2:6" s="7" customFormat="1" ht="13.5">
      <c r="B1798" s="30"/>
      <c r="C1798" s="30"/>
      <c r="D1798" s="31"/>
      <c r="E1798" s="35"/>
      <c r="F1798" s="129"/>
    </row>
    <row r="1799" spans="2:6" s="7" customFormat="1" ht="13.5">
      <c r="B1799" s="30"/>
      <c r="C1799" s="30"/>
      <c r="D1799" s="31"/>
      <c r="E1799" s="35"/>
      <c r="F1799" s="129"/>
    </row>
    <row r="1800" spans="2:6" s="7" customFormat="1" ht="13.5">
      <c r="B1800" s="30"/>
      <c r="C1800" s="30"/>
      <c r="D1800" s="31"/>
      <c r="E1800" s="35"/>
      <c r="F1800" s="129"/>
    </row>
    <row r="1801" spans="2:6" s="7" customFormat="1" ht="13.5">
      <c r="B1801" s="30"/>
      <c r="C1801" s="30"/>
      <c r="D1801" s="31"/>
      <c r="E1801" s="35"/>
      <c r="F1801" s="129"/>
    </row>
    <row r="1802" spans="2:6" s="7" customFormat="1" ht="13.5">
      <c r="B1802" s="30"/>
      <c r="C1802" s="30"/>
      <c r="D1802" s="31"/>
      <c r="E1802" s="35"/>
      <c r="F1802" s="129"/>
    </row>
    <row r="1803" spans="2:6" s="7" customFormat="1" ht="13.5">
      <c r="B1803" s="30"/>
      <c r="C1803" s="30"/>
      <c r="D1803" s="31"/>
      <c r="E1803" s="35"/>
      <c r="F1803" s="129"/>
    </row>
    <row r="1804" spans="2:6" s="7" customFormat="1" ht="13.5">
      <c r="B1804" s="30"/>
      <c r="C1804" s="30"/>
      <c r="D1804" s="31"/>
      <c r="E1804" s="35"/>
      <c r="F1804" s="129"/>
    </row>
    <row r="1805" spans="2:6" s="7" customFormat="1" ht="13.5">
      <c r="B1805" s="30"/>
      <c r="C1805" s="30"/>
      <c r="D1805" s="31"/>
      <c r="E1805" s="35"/>
      <c r="F1805" s="129"/>
    </row>
    <row r="1806" spans="2:6" s="7" customFormat="1" ht="13.5">
      <c r="B1806" s="30"/>
      <c r="C1806" s="30"/>
      <c r="D1806" s="31"/>
      <c r="E1806" s="35"/>
      <c r="F1806" s="129"/>
    </row>
    <row r="1807" spans="2:6" s="7" customFormat="1" ht="13.5">
      <c r="B1807" s="30"/>
      <c r="C1807" s="30"/>
      <c r="D1807" s="31"/>
      <c r="E1807" s="35"/>
      <c r="F1807" s="129"/>
    </row>
    <row r="1808" spans="2:6" s="7" customFormat="1" ht="13.5">
      <c r="B1808" s="30"/>
      <c r="C1808" s="30"/>
      <c r="D1808" s="31"/>
      <c r="E1808" s="35"/>
      <c r="F1808" s="129"/>
    </row>
    <row r="1809" spans="2:6" s="7" customFormat="1" ht="13.5">
      <c r="B1809" s="30"/>
      <c r="C1809" s="30"/>
      <c r="D1809" s="31"/>
      <c r="E1809" s="35"/>
      <c r="F1809" s="129"/>
    </row>
    <row r="1810" spans="2:6" s="7" customFormat="1" ht="13.5">
      <c r="B1810" s="30"/>
      <c r="C1810" s="30"/>
      <c r="D1810" s="31"/>
      <c r="E1810" s="35"/>
      <c r="F1810" s="129"/>
    </row>
    <row r="1811" spans="2:6" s="7" customFormat="1" ht="13.5">
      <c r="B1811" s="30"/>
      <c r="C1811" s="30"/>
      <c r="D1811" s="31"/>
      <c r="E1811" s="35"/>
      <c r="F1811" s="129"/>
    </row>
    <row r="1812" spans="2:6" s="7" customFormat="1" ht="13.5">
      <c r="B1812" s="30"/>
      <c r="C1812" s="30"/>
      <c r="D1812" s="31"/>
      <c r="E1812" s="35"/>
      <c r="F1812" s="129"/>
    </row>
    <row r="1813" spans="2:6" s="7" customFormat="1" ht="13.5">
      <c r="B1813" s="30"/>
      <c r="C1813" s="30"/>
      <c r="D1813" s="31"/>
      <c r="E1813" s="35"/>
      <c r="F1813" s="129"/>
    </row>
    <row r="1814" spans="2:6" s="7" customFormat="1" ht="13.5">
      <c r="B1814" s="30"/>
      <c r="C1814" s="30"/>
      <c r="D1814" s="31"/>
      <c r="E1814" s="35"/>
      <c r="F1814" s="129"/>
    </row>
    <row r="1815" spans="2:6" s="7" customFormat="1" ht="13.5">
      <c r="B1815" s="30"/>
      <c r="C1815" s="30"/>
      <c r="D1815" s="31"/>
      <c r="E1815" s="35"/>
      <c r="F1815" s="129"/>
    </row>
    <row r="1816" spans="2:6" s="7" customFormat="1" ht="13.5">
      <c r="B1816" s="30"/>
      <c r="C1816" s="30"/>
      <c r="D1816" s="31"/>
      <c r="E1816" s="35"/>
      <c r="F1816" s="129"/>
    </row>
    <row r="1817" spans="2:6" s="7" customFormat="1" ht="13.5">
      <c r="B1817" s="30"/>
      <c r="C1817" s="30"/>
      <c r="D1817" s="31"/>
      <c r="E1817" s="35"/>
      <c r="F1817" s="129"/>
    </row>
    <row r="1818" spans="2:6" s="7" customFormat="1" ht="13.5">
      <c r="B1818" s="30"/>
      <c r="C1818" s="30"/>
      <c r="D1818" s="31"/>
      <c r="E1818" s="35"/>
      <c r="F1818" s="129"/>
    </row>
    <row r="1819" spans="2:6" s="7" customFormat="1" ht="13.5">
      <c r="B1819" s="30"/>
      <c r="C1819" s="30"/>
      <c r="D1819" s="31"/>
      <c r="E1819" s="35"/>
      <c r="F1819" s="129"/>
    </row>
    <row r="1820" spans="2:6" s="7" customFormat="1" ht="13.5">
      <c r="B1820" s="30"/>
      <c r="C1820" s="30"/>
      <c r="D1820" s="31"/>
      <c r="E1820" s="35"/>
      <c r="F1820" s="129"/>
    </row>
    <row r="1821" spans="2:6" s="7" customFormat="1" ht="13.5">
      <c r="B1821" s="30"/>
      <c r="C1821" s="30"/>
      <c r="D1821" s="31"/>
      <c r="E1821" s="35"/>
      <c r="F1821" s="129"/>
    </row>
    <row r="1822" spans="2:6" s="7" customFormat="1" ht="13.5">
      <c r="B1822" s="30"/>
      <c r="C1822" s="30"/>
      <c r="D1822" s="31"/>
      <c r="E1822" s="35"/>
      <c r="F1822" s="129"/>
    </row>
    <row r="1823" spans="2:6" s="7" customFormat="1" ht="13.5">
      <c r="B1823" s="30"/>
      <c r="C1823" s="30"/>
      <c r="D1823" s="31"/>
      <c r="E1823" s="35"/>
      <c r="F1823" s="129"/>
    </row>
    <row r="1824" spans="2:6" s="7" customFormat="1" ht="13.5">
      <c r="B1824" s="30"/>
      <c r="C1824" s="30"/>
      <c r="D1824" s="31"/>
      <c r="E1824" s="35"/>
      <c r="F1824" s="129"/>
    </row>
    <row r="1825" spans="2:6" s="7" customFormat="1" ht="13.5">
      <c r="B1825" s="30"/>
      <c r="C1825" s="30"/>
      <c r="D1825" s="31"/>
      <c r="E1825" s="35"/>
      <c r="F1825" s="129"/>
    </row>
    <row r="1826" spans="2:6" s="7" customFormat="1" ht="13.5">
      <c r="B1826" s="30"/>
      <c r="C1826" s="30"/>
      <c r="D1826" s="31"/>
      <c r="E1826" s="35"/>
      <c r="F1826" s="129"/>
    </row>
    <row r="1827" spans="2:6" s="7" customFormat="1" ht="13.5">
      <c r="B1827" s="30"/>
      <c r="C1827" s="30"/>
      <c r="D1827" s="31"/>
      <c r="E1827" s="35"/>
      <c r="F1827" s="129"/>
    </row>
    <row r="1828" spans="2:6" s="7" customFormat="1" ht="13.5">
      <c r="B1828" s="30"/>
      <c r="C1828" s="30"/>
      <c r="D1828" s="31"/>
      <c r="E1828" s="35"/>
      <c r="F1828" s="129"/>
    </row>
    <row r="1829" spans="2:6" s="7" customFormat="1" ht="13.5">
      <c r="B1829" s="30"/>
      <c r="C1829" s="30"/>
      <c r="D1829" s="31"/>
      <c r="E1829" s="35"/>
      <c r="F1829" s="129"/>
    </row>
    <row r="1830" spans="2:6" s="7" customFormat="1" ht="13.5">
      <c r="B1830" s="30"/>
      <c r="C1830" s="30"/>
      <c r="D1830" s="31"/>
      <c r="E1830" s="35"/>
      <c r="F1830" s="129"/>
    </row>
    <row r="1831" spans="2:6" s="7" customFormat="1" ht="13.5">
      <c r="B1831" s="30"/>
      <c r="C1831" s="30"/>
      <c r="D1831" s="31"/>
      <c r="E1831" s="35"/>
      <c r="F1831" s="129"/>
    </row>
    <row r="1832" spans="2:6" s="7" customFormat="1" ht="13.5">
      <c r="B1832" s="30"/>
      <c r="C1832" s="30"/>
      <c r="D1832" s="31"/>
      <c r="E1832" s="35"/>
      <c r="F1832" s="129"/>
    </row>
    <row r="1833" spans="2:6" s="7" customFormat="1" ht="13.5">
      <c r="B1833" s="30"/>
      <c r="C1833" s="30"/>
      <c r="D1833" s="31"/>
      <c r="E1833" s="35"/>
      <c r="F1833" s="129"/>
    </row>
    <row r="1834" spans="2:6" s="7" customFormat="1" ht="13.5">
      <c r="B1834" s="30"/>
      <c r="C1834" s="30"/>
      <c r="D1834" s="31"/>
      <c r="E1834" s="35"/>
      <c r="F1834" s="129"/>
    </row>
    <row r="1835" spans="2:6" s="7" customFormat="1" ht="13.5">
      <c r="B1835" s="30"/>
      <c r="C1835" s="30"/>
      <c r="D1835" s="31"/>
      <c r="E1835" s="35"/>
      <c r="F1835" s="129"/>
    </row>
    <row r="1836" spans="2:6" s="7" customFormat="1" ht="13.5">
      <c r="B1836" s="30"/>
      <c r="C1836" s="30"/>
      <c r="D1836" s="31"/>
      <c r="E1836" s="35"/>
      <c r="F1836" s="129"/>
    </row>
    <row r="1837" spans="2:6" s="7" customFormat="1" ht="13.5">
      <c r="B1837" s="30"/>
      <c r="C1837" s="30"/>
      <c r="D1837" s="31"/>
      <c r="E1837" s="35"/>
      <c r="F1837" s="129"/>
    </row>
    <row r="1838" spans="2:6" s="7" customFormat="1" ht="13.5">
      <c r="B1838" s="30"/>
      <c r="C1838" s="30"/>
      <c r="D1838" s="31"/>
      <c r="E1838" s="35"/>
      <c r="F1838" s="129"/>
    </row>
    <row r="1839" spans="2:6" s="7" customFormat="1" ht="13.5">
      <c r="B1839" s="30"/>
      <c r="C1839" s="30"/>
      <c r="D1839" s="31"/>
      <c r="E1839" s="35"/>
      <c r="F1839" s="129"/>
    </row>
    <row r="1840" spans="2:6" s="7" customFormat="1" ht="13.5">
      <c r="B1840" s="30"/>
      <c r="C1840" s="30"/>
      <c r="D1840" s="31"/>
      <c r="E1840" s="35"/>
      <c r="F1840" s="129"/>
    </row>
    <row r="1841" spans="2:6" s="7" customFormat="1" ht="13.5">
      <c r="B1841" s="30"/>
      <c r="C1841" s="30"/>
      <c r="D1841" s="31"/>
      <c r="E1841" s="35"/>
      <c r="F1841" s="129"/>
    </row>
    <row r="1842" spans="2:6" s="7" customFormat="1" ht="13.5">
      <c r="B1842" s="30"/>
      <c r="C1842" s="30"/>
      <c r="D1842" s="31"/>
      <c r="E1842" s="35"/>
      <c r="F1842" s="129"/>
    </row>
    <row r="1843" spans="2:6" s="7" customFormat="1" ht="13.5">
      <c r="B1843" s="30"/>
      <c r="C1843" s="30"/>
      <c r="D1843" s="31"/>
      <c r="E1843" s="35"/>
      <c r="F1843" s="129"/>
    </row>
    <row r="1844" spans="2:6" s="7" customFormat="1" ht="13.5">
      <c r="B1844" s="30"/>
      <c r="C1844" s="30"/>
      <c r="D1844" s="31"/>
      <c r="E1844" s="35"/>
      <c r="F1844" s="129"/>
    </row>
    <row r="1845" spans="2:6" s="7" customFormat="1" ht="13.5">
      <c r="B1845" s="30"/>
      <c r="C1845" s="30"/>
      <c r="D1845" s="31"/>
      <c r="E1845" s="35"/>
      <c r="F1845" s="129"/>
    </row>
    <row r="1846" spans="2:6" s="7" customFormat="1" ht="13.5">
      <c r="B1846" s="30"/>
      <c r="C1846" s="30"/>
      <c r="D1846" s="31"/>
      <c r="E1846" s="35"/>
      <c r="F1846" s="129"/>
    </row>
    <row r="1847" spans="2:6" s="7" customFormat="1" ht="13.5">
      <c r="B1847" s="30"/>
      <c r="C1847" s="30"/>
      <c r="D1847" s="31"/>
      <c r="E1847" s="35"/>
      <c r="F1847" s="129"/>
    </row>
    <row r="1848" spans="2:6" s="7" customFormat="1" ht="13.5">
      <c r="B1848" s="30"/>
      <c r="C1848" s="30"/>
      <c r="D1848" s="31"/>
      <c r="E1848" s="35"/>
      <c r="F1848" s="129"/>
    </row>
    <row r="1849" spans="2:6" s="7" customFormat="1" ht="13.5">
      <c r="B1849" s="30"/>
      <c r="C1849" s="30"/>
      <c r="D1849" s="31"/>
      <c r="E1849" s="35"/>
      <c r="F1849" s="129"/>
    </row>
    <row r="1850" spans="2:6" s="7" customFormat="1" ht="13.5">
      <c r="B1850" s="30"/>
      <c r="C1850" s="30"/>
      <c r="D1850" s="31"/>
      <c r="E1850" s="35"/>
      <c r="F1850" s="129"/>
    </row>
    <row r="1851" spans="2:6" s="7" customFormat="1" ht="13.5">
      <c r="B1851" s="30"/>
      <c r="C1851" s="30"/>
      <c r="D1851" s="31"/>
      <c r="E1851" s="35"/>
      <c r="F1851" s="129"/>
    </row>
    <row r="1852" spans="2:6" s="7" customFormat="1" ht="13.5">
      <c r="B1852" s="30"/>
      <c r="C1852" s="30"/>
      <c r="D1852" s="31"/>
      <c r="E1852" s="35"/>
      <c r="F1852" s="129"/>
    </row>
    <row r="1853" spans="2:6" s="7" customFormat="1" ht="13.5">
      <c r="B1853" s="30"/>
      <c r="C1853" s="30"/>
      <c r="D1853" s="31"/>
      <c r="E1853" s="35"/>
      <c r="F1853" s="129"/>
    </row>
    <row r="1854" spans="2:6" s="7" customFormat="1" ht="13.5">
      <c r="B1854" s="30"/>
      <c r="C1854" s="30"/>
      <c r="D1854" s="31"/>
      <c r="E1854" s="35"/>
      <c r="F1854" s="129"/>
    </row>
    <row r="1855" spans="2:6" s="7" customFormat="1" ht="13.5">
      <c r="B1855" s="30"/>
      <c r="C1855" s="30"/>
      <c r="D1855" s="31"/>
      <c r="E1855" s="35"/>
      <c r="F1855" s="129"/>
    </row>
    <row r="1856" spans="2:6" s="7" customFormat="1" ht="13.5">
      <c r="B1856" s="30"/>
      <c r="C1856" s="30"/>
      <c r="D1856" s="31"/>
      <c r="E1856" s="35"/>
      <c r="F1856" s="129"/>
    </row>
    <row r="1857" spans="2:6" s="7" customFormat="1" ht="13.5">
      <c r="B1857" s="30"/>
      <c r="C1857" s="30"/>
      <c r="D1857" s="31"/>
      <c r="E1857" s="35"/>
      <c r="F1857" s="129"/>
    </row>
    <row r="1858" spans="2:6" s="7" customFormat="1" ht="13.5">
      <c r="B1858" s="30"/>
      <c r="C1858" s="30"/>
      <c r="D1858" s="31"/>
      <c r="E1858" s="35"/>
      <c r="F1858" s="129"/>
    </row>
    <row r="1859" spans="2:6" s="7" customFormat="1" ht="13.5">
      <c r="B1859" s="30"/>
      <c r="C1859" s="30"/>
      <c r="D1859" s="31"/>
      <c r="E1859" s="35"/>
      <c r="F1859" s="129"/>
    </row>
    <row r="1860" spans="2:6" s="7" customFormat="1" ht="13.5">
      <c r="B1860" s="30"/>
      <c r="C1860" s="30"/>
      <c r="D1860" s="31"/>
      <c r="E1860" s="35"/>
      <c r="F1860" s="129"/>
    </row>
    <row r="1861" spans="2:6" s="7" customFormat="1" ht="13.5">
      <c r="B1861" s="30"/>
      <c r="C1861" s="30"/>
      <c r="D1861" s="31"/>
      <c r="E1861" s="35"/>
      <c r="F1861" s="129"/>
    </row>
    <row r="1862" spans="2:6" s="7" customFormat="1" ht="13.5">
      <c r="B1862" s="30"/>
      <c r="C1862" s="30"/>
      <c r="D1862" s="31"/>
      <c r="E1862" s="35"/>
      <c r="F1862" s="129"/>
    </row>
    <row r="1863" spans="2:6" s="7" customFormat="1" ht="13.5">
      <c r="B1863" s="30"/>
      <c r="C1863" s="30"/>
      <c r="D1863" s="31"/>
      <c r="E1863" s="35"/>
      <c r="F1863" s="129"/>
    </row>
    <row r="1864" spans="2:6" s="7" customFormat="1" ht="13.5">
      <c r="B1864" s="30"/>
      <c r="C1864" s="30"/>
      <c r="D1864" s="31"/>
      <c r="E1864" s="35"/>
      <c r="F1864" s="129"/>
    </row>
    <row r="1865" spans="2:6" s="7" customFormat="1" ht="13.5">
      <c r="B1865" s="30"/>
      <c r="C1865" s="30"/>
      <c r="D1865" s="31"/>
      <c r="E1865" s="35"/>
      <c r="F1865" s="129"/>
    </row>
    <row r="1866" spans="2:6" s="7" customFormat="1" ht="13.5">
      <c r="B1866" s="30"/>
      <c r="C1866" s="30"/>
      <c r="D1866" s="31"/>
      <c r="E1866" s="35"/>
      <c r="F1866" s="129"/>
    </row>
    <row r="1867" spans="2:6" s="7" customFormat="1" ht="13.5">
      <c r="B1867" s="30"/>
      <c r="C1867" s="30"/>
      <c r="D1867" s="31"/>
      <c r="E1867" s="35"/>
      <c r="F1867" s="129"/>
    </row>
    <row r="1868" spans="2:6" s="7" customFormat="1" ht="13.5">
      <c r="B1868" s="30"/>
      <c r="C1868" s="30"/>
      <c r="D1868" s="31"/>
      <c r="E1868" s="35"/>
      <c r="F1868" s="129"/>
    </row>
    <row r="1869" spans="2:6" s="7" customFormat="1" ht="13.5">
      <c r="B1869" s="30"/>
      <c r="C1869" s="30"/>
      <c r="D1869" s="31"/>
      <c r="E1869" s="35"/>
      <c r="F1869" s="129"/>
    </row>
    <row r="1870" spans="2:6" s="7" customFormat="1" ht="13.5">
      <c r="B1870" s="30"/>
      <c r="C1870" s="30"/>
      <c r="D1870" s="31"/>
      <c r="E1870" s="35"/>
      <c r="F1870" s="129"/>
    </row>
    <row r="1871" spans="2:6" s="7" customFormat="1" ht="13.5">
      <c r="B1871" s="30"/>
      <c r="C1871" s="30"/>
      <c r="D1871" s="31"/>
      <c r="E1871" s="35"/>
      <c r="F1871" s="129"/>
    </row>
    <row r="1872" spans="2:6" s="7" customFormat="1" ht="13.5">
      <c r="B1872" s="30"/>
      <c r="C1872" s="30"/>
      <c r="D1872" s="31"/>
      <c r="E1872" s="35"/>
      <c r="F1872" s="129"/>
    </row>
    <row r="1873" spans="2:6" s="7" customFormat="1" ht="13.5">
      <c r="B1873" s="30"/>
      <c r="C1873" s="30"/>
      <c r="D1873" s="31"/>
      <c r="E1873" s="35"/>
      <c r="F1873" s="129"/>
    </row>
    <row r="1874" spans="2:6" s="7" customFormat="1" ht="13.5">
      <c r="B1874" s="30"/>
      <c r="C1874" s="30"/>
      <c r="D1874" s="31"/>
      <c r="E1874" s="35"/>
      <c r="F1874" s="129"/>
    </row>
    <row r="1875" spans="2:6" s="7" customFormat="1" ht="13.5">
      <c r="B1875" s="30"/>
      <c r="C1875" s="30"/>
      <c r="D1875" s="31"/>
      <c r="E1875" s="35"/>
      <c r="F1875" s="129"/>
    </row>
    <row r="1876" spans="2:6" s="7" customFormat="1" ht="13.5">
      <c r="B1876" s="30"/>
      <c r="C1876" s="30"/>
      <c r="D1876" s="31"/>
      <c r="E1876" s="35"/>
      <c r="F1876" s="129"/>
    </row>
    <row r="1877" spans="2:6" s="7" customFormat="1" ht="13.5">
      <c r="B1877" s="30"/>
      <c r="C1877" s="30"/>
      <c r="D1877" s="31"/>
      <c r="E1877" s="35"/>
      <c r="F1877" s="129"/>
    </row>
    <row r="1878" spans="2:6" s="7" customFormat="1" ht="13.5">
      <c r="B1878" s="30"/>
      <c r="C1878" s="30"/>
      <c r="D1878" s="31"/>
      <c r="E1878" s="35"/>
      <c r="F1878" s="129"/>
    </row>
    <row r="1879" spans="2:6" s="7" customFormat="1" ht="13.5">
      <c r="B1879" s="30"/>
      <c r="C1879" s="30"/>
      <c r="D1879" s="31"/>
      <c r="E1879" s="35"/>
      <c r="F1879" s="129"/>
    </row>
    <row r="1880" spans="2:6" s="7" customFormat="1" ht="13.5">
      <c r="B1880" s="30"/>
      <c r="C1880" s="30"/>
      <c r="D1880" s="31"/>
      <c r="E1880" s="35"/>
      <c r="F1880" s="129"/>
    </row>
    <row r="1881" spans="2:6" s="7" customFormat="1" ht="13.5">
      <c r="B1881" s="30"/>
      <c r="C1881" s="30"/>
      <c r="D1881" s="31"/>
      <c r="E1881" s="35"/>
      <c r="F1881" s="129"/>
    </row>
    <row r="1882" spans="2:6" s="7" customFormat="1" ht="13.5">
      <c r="B1882" s="30"/>
      <c r="C1882" s="30"/>
      <c r="D1882" s="31"/>
      <c r="E1882" s="35"/>
      <c r="F1882" s="129"/>
    </row>
    <row r="1883" spans="2:6" s="7" customFormat="1" ht="13.5">
      <c r="B1883" s="30"/>
      <c r="C1883" s="30"/>
      <c r="D1883" s="31"/>
      <c r="E1883" s="35"/>
      <c r="F1883" s="129"/>
    </row>
    <row r="1884" spans="2:6" s="7" customFormat="1" ht="13.5">
      <c r="B1884" s="30"/>
      <c r="C1884" s="30"/>
      <c r="D1884" s="31"/>
      <c r="E1884" s="35"/>
      <c r="F1884" s="129"/>
    </row>
    <row r="1885" spans="2:6" s="7" customFormat="1" ht="13.5">
      <c r="B1885" s="30"/>
      <c r="C1885" s="30"/>
      <c r="D1885" s="31"/>
      <c r="E1885" s="35"/>
      <c r="F1885" s="129"/>
    </row>
    <row r="1886" spans="2:6" s="7" customFormat="1" ht="13.5">
      <c r="B1886" s="30"/>
      <c r="C1886" s="30"/>
      <c r="D1886" s="31"/>
      <c r="E1886" s="35"/>
      <c r="F1886" s="129"/>
    </row>
    <row r="1887" spans="2:6" s="7" customFormat="1" ht="13.5">
      <c r="B1887" s="30"/>
      <c r="C1887" s="30"/>
      <c r="D1887" s="31"/>
      <c r="E1887" s="35"/>
      <c r="F1887" s="129"/>
    </row>
    <row r="1888" spans="2:6" s="7" customFormat="1" ht="13.5">
      <c r="B1888" s="30"/>
      <c r="C1888" s="30"/>
      <c r="D1888" s="31"/>
      <c r="E1888" s="35"/>
      <c r="F1888" s="129"/>
    </row>
    <row r="1889" spans="2:6" s="7" customFormat="1" ht="13.5">
      <c r="B1889" s="30"/>
      <c r="C1889" s="30"/>
      <c r="D1889" s="31"/>
      <c r="E1889" s="35"/>
      <c r="F1889" s="129"/>
    </row>
    <row r="1890" spans="2:6" s="7" customFormat="1" ht="13.5">
      <c r="B1890" s="30"/>
      <c r="C1890" s="30"/>
      <c r="D1890" s="31"/>
      <c r="E1890" s="35"/>
      <c r="F1890" s="129"/>
    </row>
    <row r="1891" spans="2:6" s="7" customFormat="1" ht="13.5">
      <c r="B1891" s="30"/>
      <c r="C1891" s="30"/>
      <c r="D1891" s="31"/>
      <c r="E1891" s="35"/>
      <c r="F1891" s="129"/>
    </row>
    <row r="1892" spans="2:6" s="7" customFormat="1" ht="13.5">
      <c r="B1892" s="30"/>
      <c r="C1892" s="30"/>
      <c r="D1892" s="31"/>
      <c r="E1892" s="35"/>
      <c r="F1892" s="129"/>
    </row>
    <row r="1893" spans="2:6" s="7" customFormat="1" ht="13.5">
      <c r="B1893" s="30"/>
      <c r="C1893" s="30"/>
      <c r="D1893" s="31"/>
      <c r="E1893" s="35"/>
      <c r="F1893" s="129"/>
    </row>
    <row r="1894" spans="2:6" s="7" customFormat="1" ht="13.5">
      <c r="B1894" s="30"/>
      <c r="C1894" s="30"/>
      <c r="D1894" s="31"/>
      <c r="E1894" s="35"/>
      <c r="F1894" s="129"/>
    </row>
    <row r="1895" spans="2:6" s="7" customFormat="1" ht="13.5">
      <c r="B1895" s="30"/>
      <c r="C1895" s="30"/>
      <c r="D1895" s="31"/>
      <c r="E1895" s="35"/>
      <c r="F1895" s="129"/>
    </row>
    <row r="1896" spans="2:6" s="7" customFormat="1" ht="13.5">
      <c r="B1896" s="30"/>
      <c r="C1896" s="30"/>
      <c r="D1896" s="31"/>
      <c r="E1896" s="35"/>
      <c r="F1896" s="129"/>
    </row>
    <row r="1897" spans="2:6" s="7" customFormat="1" ht="13.5">
      <c r="B1897" s="30"/>
      <c r="C1897" s="30"/>
      <c r="D1897" s="31"/>
      <c r="E1897" s="35"/>
      <c r="F1897" s="129"/>
    </row>
    <row r="1898" spans="2:6" s="7" customFormat="1" ht="13.5">
      <c r="B1898" s="30"/>
      <c r="C1898" s="30"/>
      <c r="D1898" s="31"/>
      <c r="E1898" s="35"/>
      <c r="F1898" s="129"/>
    </row>
    <row r="1899" spans="2:6" s="7" customFormat="1" ht="13.5">
      <c r="B1899" s="30"/>
      <c r="C1899" s="30"/>
      <c r="D1899" s="31"/>
      <c r="E1899" s="35"/>
      <c r="F1899" s="129"/>
    </row>
    <row r="1900" spans="2:6" s="7" customFormat="1" ht="13.5">
      <c r="B1900" s="30"/>
      <c r="C1900" s="30"/>
      <c r="D1900" s="31"/>
      <c r="E1900" s="35"/>
      <c r="F1900" s="129"/>
    </row>
    <row r="1901" spans="2:6" s="7" customFormat="1" ht="13.5">
      <c r="B1901" s="30"/>
      <c r="C1901" s="30"/>
      <c r="D1901" s="31"/>
      <c r="E1901" s="35"/>
      <c r="F1901" s="129"/>
    </row>
    <row r="1902" spans="2:6" s="7" customFormat="1" ht="13.5">
      <c r="B1902" s="30"/>
      <c r="C1902" s="30"/>
      <c r="D1902" s="31"/>
      <c r="E1902" s="35"/>
      <c r="F1902" s="129"/>
    </row>
    <row r="1903" spans="2:6" s="7" customFormat="1" ht="13.5">
      <c r="B1903" s="30"/>
      <c r="C1903" s="30"/>
      <c r="D1903" s="31"/>
      <c r="E1903" s="35"/>
      <c r="F1903" s="129"/>
    </row>
    <row r="1904" spans="2:6" s="7" customFormat="1" ht="13.5">
      <c r="B1904" s="30"/>
      <c r="C1904" s="30"/>
      <c r="D1904" s="31"/>
      <c r="E1904" s="35"/>
      <c r="F1904" s="129"/>
    </row>
    <row r="1905" spans="2:6" s="7" customFormat="1" ht="13.5">
      <c r="B1905" s="30"/>
      <c r="C1905" s="30"/>
      <c r="D1905" s="31"/>
      <c r="E1905" s="35"/>
      <c r="F1905" s="129"/>
    </row>
    <row r="1906" spans="2:6" s="7" customFormat="1" ht="13.5">
      <c r="B1906" s="30"/>
      <c r="C1906" s="30"/>
      <c r="D1906" s="31"/>
      <c r="E1906" s="35"/>
      <c r="F1906" s="129"/>
    </row>
    <row r="1907" spans="2:6" s="7" customFormat="1" ht="13.5">
      <c r="B1907" s="30"/>
      <c r="C1907" s="30"/>
      <c r="D1907" s="31"/>
      <c r="E1907" s="35"/>
      <c r="F1907" s="129"/>
    </row>
    <row r="1908" spans="2:6" s="7" customFormat="1" ht="13.5">
      <c r="B1908" s="30"/>
      <c r="C1908" s="30"/>
      <c r="D1908" s="31"/>
      <c r="E1908" s="35"/>
      <c r="F1908" s="129"/>
    </row>
    <row r="1909" spans="2:6" s="7" customFormat="1" ht="13.5">
      <c r="B1909" s="30"/>
      <c r="C1909" s="30"/>
      <c r="D1909" s="31"/>
      <c r="E1909" s="35"/>
      <c r="F1909" s="129"/>
    </row>
    <row r="1910" spans="2:6" s="7" customFormat="1" ht="13.5">
      <c r="B1910" s="30"/>
      <c r="C1910" s="30"/>
      <c r="D1910" s="31"/>
      <c r="E1910" s="35"/>
      <c r="F1910" s="129"/>
    </row>
    <row r="1911" spans="2:6" s="7" customFormat="1" ht="13.5">
      <c r="B1911" s="30"/>
      <c r="C1911" s="30"/>
      <c r="D1911" s="31"/>
      <c r="E1911" s="35"/>
      <c r="F1911" s="129"/>
    </row>
    <row r="1912" spans="2:6" s="7" customFormat="1" ht="13.5">
      <c r="B1912" s="30"/>
      <c r="C1912" s="30"/>
      <c r="D1912" s="31"/>
      <c r="E1912" s="35"/>
      <c r="F1912" s="129"/>
    </row>
    <row r="1913" spans="2:6" s="7" customFormat="1" ht="13.5">
      <c r="B1913" s="30"/>
      <c r="C1913" s="30"/>
      <c r="D1913" s="31"/>
      <c r="E1913" s="35"/>
      <c r="F1913" s="129"/>
    </row>
    <row r="1914" spans="2:6" s="7" customFormat="1" ht="13.5">
      <c r="B1914" s="30"/>
      <c r="C1914" s="30"/>
      <c r="D1914" s="31"/>
      <c r="E1914" s="35"/>
      <c r="F1914" s="129"/>
    </row>
    <row r="1915" spans="2:6" s="7" customFormat="1" ht="13.5">
      <c r="B1915" s="30"/>
      <c r="C1915" s="30"/>
      <c r="D1915" s="31"/>
      <c r="E1915" s="35"/>
      <c r="F1915" s="129"/>
    </row>
    <row r="1916" spans="2:6" s="7" customFormat="1" ht="13.5">
      <c r="B1916" s="30"/>
      <c r="C1916" s="30"/>
      <c r="D1916" s="31"/>
      <c r="E1916" s="35"/>
      <c r="F1916" s="129"/>
    </row>
    <row r="1917" spans="2:6" s="7" customFormat="1" ht="13.5">
      <c r="B1917" s="30"/>
      <c r="C1917" s="30"/>
      <c r="D1917" s="31"/>
      <c r="E1917" s="35"/>
      <c r="F1917" s="129"/>
    </row>
    <row r="1918" spans="2:6" s="7" customFormat="1" ht="13.5">
      <c r="B1918" s="30"/>
      <c r="C1918" s="30"/>
      <c r="D1918" s="31"/>
      <c r="E1918" s="35"/>
      <c r="F1918" s="129"/>
    </row>
    <row r="1919" spans="2:6" s="7" customFormat="1" ht="13.5">
      <c r="B1919" s="30"/>
      <c r="C1919" s="30"/>
      <c r="D1919" s="31"/>
      <c r="E1919" s="35"/>
      <c r="F1919" s="129"/>
    </row>
    <row r="1920" spans="2:6" s="7" customFormat="1" ht="13.5">
      <c r="B1920" s="30"/>
      <c r="C1920" s="30"/>
      <c r="D1920" s="31"/>
      <c r="E1920" s="35"/>
      <c r="F1920" s="129"/>
    </row>
    <row r="1921" spans="2:6" s="7" customFormat="1" ht="13.5">
      <c r="B1921" s="30"/>
      <c r="C1921" s="30"/>
      <c r="D1921" s="31"/>
      <c r="E1921" s="35"/>
      <c r="F1921" s="129"/>
    </row>
    <row r="1922" spans="2:6" s="7" customFormat="1" ht="13.5">
      <c r="B1922" s="30"/>
      <c r="C1922" s="30"/>
      <c r="D1922" s="31"/>
      <c r="E1922" s="35"/>
      <c r="F1922" s="129"/>
    </row>
    <row r="1923" spans="2:6" s="7" customFormat="1" ht="13.5">
      <c r="B1923" s="30"/>
      <c r="C1923" s="30"/>
      <c r="D1923" s="31"/>
      <c r="E1923" s="35"/>
      <c r="F1923" s="129"/>
    </row>
    <row r="1924" spans="2:6" s="7" customFormat="1" ht="13.5">
      <c r="B1924" s="30"/>
      <c r="C1924" s="30"/>
      <c r="D1924" s="31"/>
      <c r="E1924" s="35"/>
      <c r="F1924" s="129"/>
    </row>
    <row r="1925" spans="2:6" s="7" customFormat="1" ht="13.5">
      <c r="B1925" s="30"/>
      <c r="C1925" s="30"/>
      <c r="D1925" s="31"/>
      <c r="E1925" s="35"/>
      <c r="F1925" s="129"/>
    </row>
    <row r="1926" spans="2:6" s="7" customFormat="1" ht="13.5">
      <c r="B1926" s="30"/>
      <c r="C1926" s="30"/>
      <c r="D1926" s="31"/>
      <c r="E1926" s="35"/>
      <c r="F1926" s="129"/>
    </row>
    <row r="1927" spans="2:6" s="7" customFormat="1" ht="13.5">
      <c r="B1927" s="30"/>
      <c r="C1927" s="30"/>
      <c r="D1927" s="31"/>
      <c r="E1927" s="35"/>
      <c r="F1927" s="129"/>
    </row>
    <row r="1928" spans="2:6" s="7" customFormat="1" ht="13.5">
      <c r="B1928" s="30"/>
      <c r="C1928" s="30"/>
      <c r="D1928" s="31"/>
      <c r="E1928" s="35"/>
      <c r="F1928" s="129"/>
    </row>
    <row r="1929" spans="2:6" s="7" customFormat="1" ht="13.5">
      <c r="B1929" s="30"/>
      <c r="C1929" s="30"/>
      <c r="D1929" s="31"/>
      <c r="E1929" s="35"/>
      <c r="F1929" s="129"/>
    </row>
    <row r="1930" spans="2:6" s="7" customFormat="1" ht="13.5">
      <c r="B1930" s="30"/>
      <c r="C1930" s="30"/>
      <c r="D1930" s="31"/>
      <c r="E1930" s="35"/>
      <c r="F1930" s="129"/>
    </row>
    <row r="1931" spans="2:6" s="7" customFormat="1" ht="13.5">
      <c r="B1931" s="30"/>
      <c r="C1931" s="30"/>
      <c r="D1931" s="31"/>
      <c r="E1931" s="35"/>
      <c r="F1931" s="129"/>
    </row>
    <row r="1932" spans="2:6" s="7" customFormat="1" ht="13.5">
      <c r="B1932" s="30"/>
      <c r="C1932" s="30"/>
      <c r="D1932" s="31"/>
      <c r="E1932" s="35"/>
      <c r="F1932" s="129"/>
    </row>
    <row r="1933" spans="2:6" s="7" customFormat="1" ht="13.5">
      <c r="B1933" s="30"/>
      <c r="C1933" s="30"/>
      <c r="D1933" s="31"/>
      <c r="E1933" s="35"/>
      <c r="F1933" s="129"/>
    </row>
    <row r="1934" spans="2:6" s="7" customFormat="1" ht="13.5">
      <c r="B1934" s="30"/>
      <c r="C1934" s="30"/>
      <c r="D1934" s="31"/>
      <c r="E1934" s="35"/>
      <c r="F1934" s="129"/>
    </row>
    <row r="1935" spans="2:6" s="7" customFormat="1" ht="13.5">
      <c r="B1935" s="30"/>
      <c r="C1935" s="30"/>
      <c r="D1935" s="31"/>
      <c r="E1935" s="35"/>
      <c r="F1935" s="129"/>
    </row>
    <row r="1936" spans="2:6" s="7" customFormat="1" ht="13.5">
      <c r="B1936" s="30"/>
      <c r="C1936" s="30"/>
      <c r="D1936" s="31"/>
      <c r="E1936" s="35"/>
      <c r="F1936" s="129"/>
    </row>
    <row r="1937" spans="2:6" s="7" customFormat="1" ht="13.5">
      <c r="B1937" s="30"/>
      <c r="C1937" s="30"/>
      <c r="D1937" s="31"/>
      <c r="E1937" s="35"/>
      <c r="F1937" s="129"/>
    </row>
    <row r="1938" spans="2:6" s="7" customFormat="1" ht="13.5">
      <c r="B1938" s="30"/>
      <c r="C1938" s="30"/>
      <c r="D1938" s="31"/>
      <c r="E1938" s="35"/>
      <c r="F1938" s="129"/>
    </row>
    <row r="1939" spans="2:6" s="7" customFormat="1" ht="13.5">
      <c r="B1939" s="30"/>
      <c r="C1939" s="30"/>
      <c r="D1939" s="31"/>
      <c r="E1939" s="35"/>
      <c r="F1939" s="129"/>
    </row>
    <row r="1940" spans="2:6" s="7" customFormat="1" ht="13.5">
      <c r="B1940" s="30"/>
      <c r="C1940" s="30"/>
      <c r="D1940" s="31"/>
      <c r="E1940" s="35"/>
      <c r="F1940" s="129"/>
    </row>
    <row r="1941" spans="2:6" s="7" customFormat="1" ht="13.5">
      <c r="B1941" s="30"/>
      <c r="C1941" s="30"/>
      <c r="D1941" s="31"/>
      <c r="E1941" s="35"/>
      <c r="F1941" s="129"/>
    </row>
    <row r="1942" spans="2:6" s="7" customFormat="1" ht="13.5">
      <c r="B1942" s="30"/>
      <c r="C1942" s="30"/>
      <c r="D1942" s="31"/>
      <c r="E1942" s="35"/>
      <c r="F1942" s="129"/>
    </row>
    <row r="1943" spans="2:6" s="7" customFormat="1" ht="13.5">
      <c r="B1943" s="30"/>
      <c r="C1943" s="30"/>
      <c r="D1943" s="31"/>
      <c r="E1943" s="35"/>
      <c r="F1943" s="129"/>
    </row>
    <row r="1944" spans="2:6" s="7" customFormat="1" ht="13.5">
      <c r="B1944" s="30"/>
      <c r="C1944" s="30"/>
      <c r="D1944" s="31"/>
      <c r="E1944" s="35"/>
      <c r="F1944" s="129"/>
    </row>
    <row r="1945" spans="2:6" s="7" customFormat="1" ht="13.5">
      <c r="B1945" s="30"/>
      <c r="C1945" s="30"/>
      <c r="D1945" s="31"/>
      <c r="E1945" s="35"/>
      <c r="F1945" s="129"/>
    </row>
    <row r="1946" spans="2:6" s="7" customFormat="1" ht="13.5">
      <c r="B1946" s="30"/>
      <c r="C1946" s="30"/>
      <c r="D1946" s="31"/>
      <c r="E1946" s="35"/>
      <c r="F1946" s="129"/>
    </row>
    <row r="1947" spans="2:6" s="7" customFormat="1" ht="13.5">
      <c r="B1947" s="30"/>
      <c r="C1947" s="30"/>
      <c r="D1947" s="31"/>
      <c r="E1947" s="35"/>
      <c r="F1947" s="129"/>
    </row>
    <row r="1948" spans="2:6" s="7" customFormat="1" ht="13.5">
      <c r="B1948" s="30"/>
      <c r="C1948" s="30"/>
      <c r="D1948" s="31"/>
      <c r="E1948" s="35"/>
      <c r="F1948" s="129"/>
    </row>
    <row r="1949" spans="2:6" s="7" customFormat="1" ht="13.5">
      <c r="B1949" s="30"/>
      <c r="C1949" s="30"/>
      <c r="D1949" s="31"/>
      <c r="E1949" s="35"/>
      <c r="F1949" s="129"/>
    </row>
    <row r="1950" spans="2:6" s="7" customFormat="1" ht="13.5">
      <c r="B1950" s="30"/>
      <c r="C1950" s="30"/>
      <c r="D1950" s="31"/>
      <c r="E1950" s="35"/>
      <c r="F1950" s="129"/>
    </row>
    <row r="1951" spans="2:6" s="7" customFormat="1" ht="13.5">
      <c r="B1951" s="30"/>
      <c r="C1951" s="30"/>
      <c r="D1951" s="31"/>
      <c r="E1951" s="35"/>
      <c r="F1951" s="129"/>
    </row>
    <row r="1952" spans="2:6" s="7" customFormat="1" ht="13.5">
      <c r="B1952" s="30"/>
      <c r="C1952" s="30"/>
      <c r="D1952" s="31"/>
      <c r="E1952" s="35"/>
      <c r="F1952" s="129"/>
    </row>
    <row r="1953" spans="2:6" s="7" customFormat="1" ht="13.5">
      <c r="B1953" s="30"/>
      <c r="C1953" s="30"/>
      <c r="D1953" s="31"/>
      <c r="E1953" s="35"/>
      <c r="F1953" s="129"/>
    </row>
    <row r="1954" spans="2:6" s="7" customFormat="1" ht="13.5">
      <c r="B1954" s="30"/>
      <c r="C1954" s="30"/>
      <c r="D1954" s="31"/>
      <c r="E1954" s="35"/>
      <c r="F1954" s="129"/>
    </row>
    <row r="1955" spans="2:6" s="7" customFormat="1" ht="13.5">
      <c r="B1955" s="30"/>
      <c r="C1955" s="30"/>
      <c r="D1955" s="31"/>
      <c r="E1955" s="35"/>
      <c r="F1955" s="129"/>
    </row>
    <row r="1956" spans="2:6" s="7" customFormat="1" ht="13.5">
      <c r="B1956" s="30"/>
      <c r="C1956" s="30"/>
      <c r="D1956" s="31"/>
      <c r="E1956" s="35"/>
      <c r="F1956" s="129"/>
    </row>
    <row r="1957" spans="2:6" s="7" customFormat="1" ht="13.5">
      <c r="B1957" s="30"/>
      <c r="C1957" s="30"/>
      <c r="D1957" s="31"/>
      <c r="E1957" s="35"/>
      <c r="F1957" s="129"/>
    </row>
    <row r="1958" spans="2:6" s="7" customFormat="1" ht="13.5">
      <c r="B1958" s="30"/>
      <c r="C1958" s="30"/>
      <c r="D1958" s="31"/>
      <c r="E1958" s="35"/>
      <c r="F1958" s="129"/>
    </row>
    <row r="1959" spans="2:6" s="7" customFormat="1" ht="13.5">
      <c r="B1959" s="30"/>
      <c r="C1959" s="30"/>
      <c r="D1959" s="31"/>
      <c r="E1959" s="35"/>
      <c r="F1959" s="129"/>
    </row>
    <row r="1960" spans="2:6" s="7" customFormat="1" ht="13.5">
      <c r="B1960" s="30"/>
      <c r="C1960" s="30"/>
      <c r="D1960" s="31"/>
      <c r="E1960" s="35"/>
      <c r="F1960" s="129"/>
    </row>
    <row r="1961" spans="2:6" s="7" customFormat="1" ht="13.5">
      <c r="B1961" s="30"/>
      <c r="C1961" s="30"/>
      <c r="D1961" s="31"/>
      <c r="E1961" s="35"/>
      <c r="F1961" s="129"/>
    </row>
    <row r="1962" spans="2:6" s="7" customFormat="1" ht="13.5">
      <c r="B1962" s="30"/>
      <c r="C1962" s="30"/>
      <c r="D1962" s="31"/>
      <c r="E1962" s="35"/>
      <c r="F1962" s="129"/>
    </row>
    <row r="1963" spans="2:6" s="7" customFormat="1" ht="13.5">
      <c r="B1963" s="30"/>
      <c r="C1963" s="30"/>
      <c r="D1963" s="31"/>
      <c r="E1963" s="35"/>
      <c r="F1963" s="129"/>
    </row>
    <row r="1964" spans="2:6" s="7" customFormat="1" ht="13.5">
      <c r="B1964" s="30"/>
      <c r="C1964" s="30"/>
      <c r="D1964" s="31"/>
      <c r="E1964" s="35"/>
      <c r="F1964" s="129"/>
    </row>
    <row r="1965" spans="2:6" s="7" customFormat="1" ht="13.5">
      <c r="B1965" s="30"/>
      <c r="C1965" s="30"/>
      <c r="D1965" s="31"/>
      <c r="E1965" s="35"/>
      <c r="F1965" s="129"/>
    </row>
    <row r="1966" spans="2:6" s="7" customFormat="1" ht="13.5">
      <c r="B1966" s="30"/>
      <c r="C1966" s="30"/>
      <c r="D1966" s="31"/>
      <c r="E1966" s="35"/>
      <c r="F1966" s="129"/>
    </row>
    <row r="1967" spans="2:6" s="7" customFormat="1" ht="13.5">
      <c r="B1967" s="30"/>
      <c r="C1967" s="30"/>
      <c r="D1967" s="31"/>
      <c r="E1967" s="35"/>
      <c r="F1967" s="129"/>
    </row>
    <row r="1968" spans="2:6" s="7" customFormat="1" ht="13.5">
      <c r="B1968" s="30"/>
      <c r="C1968" s="30"/>
      <c r="D1968" s="31"/>
      <c r="E1968" s="35"/>
      <c r="F1968" s="129"/>
    </row>
    <row r="1969" spans="2:6" s="7" customFormat="1" ht="13.5">
      <c r="B1969" s="30"/>
      <c r="C1969" s="30"/>
      <c r="D1969" s="31"/>
      <c r="E1969" s="35"/>
      <c r="F1969" s="129"/>
    </row>
    <row r="1970" spans="2:6" s="7" customFormat="1" ht="13.5">
      <c r="B1970" s="30"/>
      <c r="C1970" s="30"/>
      <c r="D1970" s="31"/>
      <c r="E1970" s="35"/>
      <c r="F1970" s="129"/>
    </row>
    <row r="1971" spans="2:6" s="7" customFormat="1" ht="13.5">
      <c r="B1971" s="30"/>
      <c r="C1971" s="30"/>
      <c r="D1971" s="31"/>
      <c r="E1971" s="35"/>
      <c r="F1971" s="129"/>
    </row>
    <row r="1972" spans="2:6" s="7" customFormat="1" ht="13.5">
      <c r="B1972" s="30"/>
      <c r="C1972" s="30"/>
      <c r="D1972" s="31"/>
      <c r="E1972" s="35"/>
      <c r="F1972" s="129"/>
    </row>
    <row r="1973" spans="2:6" s="7" customFormat="1" ht="13.5">
      <c r="B1973" s="30"/>
      <c r="C1973" s="30"/>
      <c r="D1973" s="31"/>
      <c r="E1973" s="35"/>
      <c r="F1973" s="129"/>
    </row>
    <row r="1974" spans="2:6" s="7" customFormat="1" ht="13.5">
      <c r="B1974" s="30"/>
      <c r="C1974" s="30"/>
      <c r="D1974" s="31"/>
      <c r="E1974" s="35"/>
      <c r="F1974" s="129"/>
    </row>
    <row r="1975" spans="2:6" s="7" customFormat="1" ht="13.5">
      <c r="B1975" s="30"/>
      <c r="C1975" s="30"/>
      <c r="D1975" s="31"/>
      <c r="E1975" s="35"/>
      <c r="F1975" s="129"/>
    </row>
    <row r="1976" spans="2:6" s="7" customFormat="1" ht="13.5">
      <c r="B1976" s="30"/>
      <c r="C1976" s="30"/>
      <c r="D1976" s="31"/>
      <c r="E1976" s="35"/>
      <c r="F1976" s="129"/>
    </row>
    <row r="1977" spans="2:6" s="7" customFormat="1" ht="13.5">
      <c r="B1977" s="30"/>
      <c r="C1977" s="30"/>
      <c r="D1977" s="31"/>
      <c r="E1977" s="35"/>
      <c r="F1977" s="129"/>
    </row>
    <row r="1978" spans="2:6" s="7" customFormat="1" ht="13.5">
      <c r="B1978" s="30"/>
      <c r="C1978" s="30"/>
      <c r="D1978" s="31"/>
      <c r="E1978" s="35"/>
      <c r="F1978" s="129"/>
    </row>
    <row r="1979" spans="2:6" s="7" customFormat="1" ht="13.5">
      <c r="B1979" s="30"/>
      <c r="C1979" s="30"/>
      <c r="D1979" s="31"/>
      <c r="E1979" s="35"/>
      <c r="F1979" s="129"/>
    </row>
    <row r="1980" spans="2:6" s="7" customFormat="1" ht="13.5">
      <c r="B1980" s="30"/>
      <c r="C1980" s="30"/>
      <c r="D1980" s="31"/>
      <c r="E1980" s="35"/>
      <c r="F1980" s="129"/>
    </row>
    <row r="1981" spans="2:6" s="7" customFormat="1" ht="13.5">
      <c r="B1981" s="30"/>
      <c r="C1981" s="30"/>
      <c r="D1981" s="31"/>
      <c r="E1981" s="35"/>
      <c r="F1981" s="129"/>
    </row>
    <row r="1982" spans="2:6" s="7" customFormat="1" ht="13.5">
      <c r="B1982" s="30"/>
      <c r="C1982" s="30"/>
      <c r="D1982" s="31"/>
      <c r="E1982" s="35"/>
      <c r="F1982" s="129"/>
    </row>
    <row r="1983" spans="2:6" s="7" customFormat="1" ht="13.5">
      <c r="B1983" s="30"/>
      <c r="C1983" s="30"/>
      <c r="D1983" s="31"/>
      <c r="E1983" s="35"/>
      <c r="F1983" s="129"/>
    </row>
    <row r="1984" spans="2:6" s="7" customFormat="1" ht="13.5">
      <c r="B1984" s="30"/>
      <c r="C1984" s="30"/>
      <c r="D1984" s="31"/>
      <c r="E1984" s="35"/>
      <c r="F1984" s="129"/>
    </row>
    <row r="1985" spans="2:6" s="7" customFormat="1" ht="13.5">
      <c r="B1985" s="30"/>
      <c r="C1985" s="30"/>
      <c r="D1985" s="31"/>
      <c r="E1985" s="35"/>
      <c r="F1985" s="129"/>
    </row>
    <row r="1986" spans="2:6" s="7" customFormat="1" ht="13.5">
      <c r="B1986" s="30"/>
      <c r="C1986" s="30"/>
      <c r="D1986" s="31"/>
      <c r="E1986" s="35"/>
      <c r="F1986" s="129"/>
    </row>
    <row r="1987" spans="2:6" s="7" customFormat="1" ht="13.5">
      <c r="B1987" s="30"/>
      <c r="C1987" s="30"/>
      <c r="D1987" s="31"/>
      <c r="E1987" s="35"/>
      <c r="F1987" s="129"/>
    </row>
    <row r="1988" spans="2:6" s="7" customFormat="1" ht="13.5">
      <c r="B1988" s="30"/>
      <c r="C1988" s="30"/>
      <c r="D1988" s="31"/>
      <c r="E1988" s="35"/>
      <c r="F1988" s="129"/>
    </row>
    <row r="1989" spans="2:6" s="7" customFormat="1" ht="13.5">
      <c r="B1989" s="30"/>
      <c r="C1989" s="30"/>
      <c r="D1989" s="31"/>
      <c r="E1989" s="35"/>
      <c r="F1989" s="129"/>
    </row>
    <row r="1990" spans="2:6" s="7" customFormat="1" ht="13.5">
      <c r="B1990" s="30"/>
      <c r="C1990" s="30"/>
      <c r="D1990" s="31"/>
      <c r="E1990" s="35"/>
      <c r="F1990" s="129"/>
    </row>
    <row r="1991" spans="2:6" s="7" customFormat="1" ht="13.5">
      <c r="B1991" s="30"/>
      <c r="C1991" s="30"/>
      <c r="D1991" s="31"/>
      <c r="E1991" s="35"/>
      <c r="F1991" s="129"/>
    </row>
    <row r="1992" spans="2:6" s="7" customFormat="1" ht="13.5">
      <c r="B1992" s="30"/>
      <c r="C1992" s="30"/>
      <c r="D1992" s="31"/>
      <c r="E1992" s="35"/>
      <c r="F1992" s="129"/>
    </row>
    <row r="1993" spans="2:6" s="7" customFormat="1" ht="13.5">
      <c r="B1993" s="30"/>
      <c r="C1993" s="30"/>
      <c r="D1993" s="31"/>
      <c r="E1993" s="35"/>
      <c r="F1993" s="129"/>
    </row>
    <row r="1994" spans="2:6" s="7" customFormat="1" ht="13.5">
      <c r="B1994" s="30"/>
      <c r="C1994" s="30"/>
      <c r="D1994" s="31"/>
      <c r="E1994" s="35"/>
      <c r="F1994" s="129"/>
    </row>
    <row r="1995" spans="2:6" s="7" customFormat="1" ht="13.5">
      <c r="B1995" s="30"/>
      <c r="C1995" s="30"/>
      <c r="D1995" s="31"/>
      <c r="E1995" s="35"/>
      <c r="F1995" s="129"/>
    </row>
    <row r="1996" spans="2:6" s="7" customFormat="1" ht="13.5">
      <c r="B1996" s="30"/>
      <c r="C1996" s="30"/>
      <c r="D1996" s="31"/>
      <c r="E1996" s="35"/>
      <c r="F1996" s="129"/>
    </row>
    <row r="1997" spans="2:6" s="7" customFormat="1" ht="13.5">
      <c r="B1997" s="30"/>
      <c r="C1997" s="30"/>
      <c r="D1997" s="31"/>
      <c r="E1997" s="35"/>
      <c r="F1997" s="129"/>
    </row>
    <row r="1998" spans="2:6" s="7" customFormat="1" ht="13.5">
      <c r="B1998" s="30"/>
      <c r="C1998" s="30"/>
      <c r="D1998" s="31"/>
      <c r="E1998" s="35"/>
      <c r="F1998" s="129"/>
    </row>
    <row r="1999" spans="2:6" s="7" customFormat="1" ht="13.5">
      <c r="B1999" s="30"/>
      <c r="C1999" s="30"/>
      <c r="D1999" s="31"/>
      <c r="E1999" s="35"/>
      <c r="F1999" s="129"/>
    </row>
    <row r="2000" spans="2:6" s="7" customFormat="1" ht="13.5">
      <c r="B2000" s="30"/>
      <c r="C2000" s="30"/>
      <c r="D2000" s="31"/>
      <c r="E2000" s="35"/>
      <c r="F2000" s="129"/>
    </row>
    <row r="2001" spans="2:6" s="7" customFormat="1" ht="13.5">
      <c r="B2001" s="30"/>
      <c r="C2001" s="30"/>
      <c r="D2001" s="31"/>
      <c r="E2001" s="35"/>
      <c r="F2001" s="129"/>
    </row>
    <row r="2002" spans="2:6" s="7" customFormat="1" ht="13.5">
      <c r="B2002" s="30"/>
      <c r="C2002" s="30"/>
      <c r="D2002" s="31"/>
      <c r="E2002" s="35"/>
      <c r="F2002" s="129"/>
    </row>
    <row r="2003" spans="2:6" s="7" customFormat="1" ht="13.5">
      <c r="B2003" s="30"/>
      <c r="C2003" s="30"/>
      <c r="D2003" s="31"/>
      <c r="E2003" s="35"/>
      <c r="F2003" s="129"/>
    </row>
    <row r="2004" spans="2:6" s="7" customFormat="1" ht="13.5">
      <c r="B2004" s="30"/>
      <c r="C2004" s="30"/>
      <c r="D2004" s="31"/>
      <c r="E2004" s="35"/>
      <c r="F2004" s="129"/>
    </row>
    <row r="2005" spans="2:6" s="7" customFormat="1" ht="13.5">
      <c r="B2005" s="30"/>
      <c r="C2005" s="30"/>
      <c r="D2005" s="31"/>
      <c r="E2005" s="35"/>
      <c r="F2005" s="129"/>
    </row>
    <row r="2006" spans="2:6" s="7" customFormat="1" ht="13.5">
      <c r="B2006" s="30"/>
      <c r="C2006" s="30"/>
      <c r="D2006" s="31"/>
      <c r="E2006" s="35"/>
      <c r="F2006" s="129"/>
    </row>
    <row r="2007" spans="2:6" s="7" customFormat="1" ht="13.5">
      <c r="B2007" s="30"/>
      <c r="C2007" s="30"/>
      <c r="D2007" s="31"/>
      <c r="E2007" s="35"/>
      <c r="F2007" s="129"/>
    </row>
    <row r="2008" spans="2:6" s="7" customFormat="1" ht="13.5">
      <c r="B2008" s="30"/>
      <c r="C2008" s="30"/>
      <c r="D2008" s="31"/>
      <c r="E2008" s="35"/>
      <c r="F2008" s="129"/>
    </row>
    <row r="2009" spans="2:6" s="7" customFormat="1" ht="13.5">
      <c r="B2009" s="30"/>
      <c r="C2009" s="30"/>
      <c r="D2009" s="31"/>
      <c r="E2009" s="35"/>
      <c r="F2009" s="129"/>
    </row>
    <row r="2010" spans="2:6" s="7" customFormat="1" ht="13.5">
      <c r="B2010" s="30"/>
      <c r="C2010" s="30"/>
      <c r="D2010" s="31"/>
      <c r="E2010" s="35"/>
      <c r="F2010" s="129"/>
    </row>
    <row r="2011" spans="2:6" s="7" customFormat="1" ht="13.5">
      <c r="B2011" s="30"/>
      <c r="C2011" s="30"/>
      <c r="D2011" s="31"/>
      <c r="E2011" s="35"/>
      <c r="F2011" s="129"/>
    </row>
    <row r="2012" spans="2:6" s="7" customFormat="1" ht="13.5">
      <c r="B2012" s="30"/>
      <c r="C2012" s="30"/>
      <c r="D2012" s="31"/>
      <c r="E2012" s="35"/>
      <c r="F2012" s="129"/>
    </row>
    <row r="2013" spans="2:6" s="7" customFormat="1" ht="13.5">
      <c r="B2013" s="30"/>
      <c r="C2013" s="30"/>
      <c r="D2013" s="31"/>
      <c r="E2013" s="35"/>
      <c r="F2013" s="129"/>
    </row>
    <row r="2014" spans="2:6" s="7" customFormat="1" ht="13.5">
      <c r="B2014" s="30"/>
      <c r="C2014" s="30"/>
      <c r="D2014" s="31"/>
      <c r="E2014" s="35"/>
      <c r="F2014" s="129"/>
    </row>
    <row r="2015" spans="2:6" s="7" customFormat="1" ht="13.5">
      <c r="B2015" s="30"/>
      <c r="C2015" s="30"/>
      <c r="D2015" s="31"/>
      <c r="E2015" s="35"/>
      <c r="F2015" s="129"/>
    </row>
    <row r="2016" spans="2:6" s="7" customFormat="1" ht="13.5">
      <c r="B2016" s="30"/>
      <c r="C2016" s="30"/>
      <c r="D2016" s="31"/>
      <c r="E2016" s="35"/>
      <c r="F2016" s="129"/>
    </row>
    <row r="2017" spans="2:6" s="7" customFormat="1" ht="13.5">
      <c r="B2017" s="30"/>
      <c r="C2017" s="30"/>
      <c r="D2017" s="31"/>
      <c r="E2017" s="35"/>
      <c r="F2017" s="129"/>
    </row>
    <row r="2018" spans="2:6" s="7" customFormat="1" ht="13.5">
      <c r="B2018" s="30"/>
      <c r="C2018" s="30"/>
      <c r="D2018" s="31"/>
      <c r="E2018" s="35"/>
      <c r="F2018" s="129"/>
    </row>
    <row r="2019" spans="2:6" s="7" customFormat="1" ht="13.5">
      <c r="B2019" s="30"/>
      <c r="C2019" s="30"/>
      <c r="D2019" s="31"/>
      <c r="E2019" s="35"/>
      <c r="F2019" s="129"/>
    </row>
    <row r="2020" spans="2:6" s="7" customFormat="1" ht="13.5">
      <c r="B2020" s="30"/>
      <c r="C2020" s="30"/>
      <c r="D2020" s="31"/>
      <c r="E2020" s="35"/>
      <c r="F2020" s="129"/>
    </row>
    <row r="2021" spans="2:6" s="7" customFormat="1" ht="13.5">
      <c r="B2021" s="30"/>
      <c r="C2021" s="30"/>
      <c r="D2021" s="31"/>
      <c r="E2021" s="35"/>
      <c r="F2021" s="129"/>
    </row>
    <row r="2022" spans="2:6" s="7" customFormat="1" ht="13.5">
      <c r="B2022" s="30"/>
      <c r="C2022" s="30"/>
      <c r="D2022" s="31"/>
      <c r="E2022" s="35"/>
      <c r="F2022" s="129"/>
    </row>
    <row r="2023" spans="2:6" s="7" customFormat="1" ht="13.5">
      <c r="B2023" s="30"/>
      <c r="C2023" s="30"/>
      <c r="D2023" s="31"/>
      <c r="E2023" s="35"/>
      <c r="F2023" s="129"/>
    </row>
    <row r="2024" spans="2:6" s="7" customFormat="1" ht="13.5">
      <c r="B2024" s="30"/>
      <c r="C2024" s="30"/>
      <c r="D2024" s="31"/>
      <c r="E2024" s="35"/>
      <c r="F2024" s="129"/>
    </row>
    <row r="2025" spans="2:6" s="7" customFormat="1" ht="13.5">
      <c r="B2025" s="30"/>
      <c r="C2025" s="30"/>
      <c r="D2025" s="31"/>
      <c r="E2025" s="35"/>
      <c r="F2025" s="129"/>
    </row>
    <row r="2026" spans="2:6" s="7" customFormat="1" ht="13.5">
      <c r="B2026" s="30"/>
      <c r="C2026" s="30"/>
      <c r="D2026" s="31"/>
      <c r="E2026" s="35"/>
      <c r="F2026" s="129"/>
    </row>
    <row r="2027" spans="2:6" s="7" customFormat="1" ht="13.5">
      <c r="B2027" s="30"/>
      <c r="C2027" s="30"/>
      <c r="D2027" s="31"/>
      <c r="E2027" s="35"/>
      <c r="F2027" s="129"/>
    </row>
    <row r="2028" spans="2:6" s="7" customFormat="1" ht="13.5">
      <c r="B2028" s="30"/>
      <c r="C2028" s="30"/>
      <c r="D2028" s="31"/>
      <c r="E2028" s="35"/>
      <c r="F2028" s="129"/>
    </row>
    <row r="2029" spans="2:6" s="7" customFormat="1" ht="13.5">
      <c r="B2029" s="30"/>
      <c r="C2029" s="30"/>
      <c r="D2029" s="31"/>
      <c r="E2029" s="35"/>
      <c r="F2029" s="129"/>
    </row>
    <row r="2030" spans="2:6" s="7" customFormat="1" ht="13.5">
      <c r="B2030" s="30"/>
      <c r="C2030" s="30"/>
      <c r="D2030" s="31"/>
      <c r="E2030" s="35"/>
      <c r="F2030" s="129"/>
    </row>
    <row r="2031" spans="2:6" s="7" customFormat="1" ht="13.5">
      <c r="B2031" s="30"/>
      <c r="C2031" s="30"/>
      <c r="D2031" s="31"/>
      <c r="E2031" s="35"/>
      <c r="F2031" s="129"/>
    </row>
    <row r="2032" spans="2:6" s="7" customFormat="1" ht="13.5">
      <c r="B2032" s="30"/>
      <c r="C2032" s="30"/>
      <c r="D2032" s="31"/>
      <c r="E2032" s="35"/>
      <c r="F2032" s="129"/>
    </row>
    <row r="2033" spans="2:6" s="7" customFormat="1" ht="13.5">
      <c r="B2033" s="30"/>
      <c r="C2033" s="30"/>
      <c r="D2033" s="31"/>
      <c r="E2033" s="35"/>
      <c r="F2033" s="129"/>
    </row>
    <row r="2034" spans="2:6" s="7" customFormat="1" ht="13.5">
      <c r="B2034" s="30"/>
      <c r="C2034" s="30"/>
      <c r="D2034" s="31"/>
      <c r="E2034" s="35"/>
      <c r="F2034" s="129"/>
    </row>
    <row r="2035" spans="2:6" s="7" customFormat="1" ht="13.5">
      <c r="B2035" s="30"/>
      <c r="C2035" s="30"/>
      <c r="D2035" s="31"/>
      <c r="E2035" s="35"/>
      <c r="F2035" s="129"/>
    </row>
    <row r="2036" spans="2:6" s="7" customFormat="1" ht="13.5">
      <c r="B2036" s="30"/>
      <c r="C2036" s="30"/>
      <c r="D2036" s="31"/>
      <c r="E2036" s="35"/>
      <c r="F2036" s="129"/>
    </row>
    <row r="2037" spans="2:6" s="7" customFormat="1" ht="13.5">
      <c r="B2037" s="30"/>
      <c r="C2037" s="30"/>
      <c r="D2037" s="31"/>
      <c r="E2037" s="35"/>
      <c r="F2037" s="129"/>
    </row>
    <row r="2038" spans="2:6" s="7" customFormat="1" ht="13.5">
      <c r="B2038" s="30"/>
      <c r="C2038" s="30"/>
      <c r="D2038" s="31"/>
      <c r="E2038" s="35"/>
      <c r="F2038" s="129"/>
    </row>
    <row r="2039" spans="2:6" s="7" customFormat="1" ht="13.5">
      <c r="B2039" s="30"/>
      <c r="C2039" s="30"/>
      <c r="D2039" s="31"/>
      <c r="E2039" s="35"/>
      <c r="F2039" s="129"/>
    </row>
    <row r="2040" spans="2:6" s="7" customFormat="1" ht="13.5">
      <c r="B2040" s="30"/>
      <c r="C2040" s="30"/>
      <c r="D2040" s="31"/>
      <c r="E2040" s="35"/>
      <c r="F2040" s="129"/>
    </row>
    <row r="2041" spans="2:6" s="7" customFormat="1" ht="13.5">
      <c r="B2041" s="30"/>
      <c r="C2041" s="30"/>
      <c r="D2041" s="31"/>
      <c r="E2041" s="35"/>
      <c r="F2041" s="129"/>
    </row>
    <row r="2042" spans="2:6" s="7" customFormat="1" ht="13.5">
      <c r="B2042" s="30"/>
      <c r="C2042" s="30"/>
      <c r="D2042" s="31"/>
      <c r="E2042" s="35"/>
      <c r="F2042" s="129"/>
    </row>
    <row r="2043" spans="2:6" s="7" customFormat="1" ht="13.5">
      <c r="B2043" s="30"/>
      <c r="C2043" s="30"/>
      <c r="D2043" s="31"/>
      <c r="E2043" s="35"/>
      <c r="F2043" s="129"/>
    </row>
    <row r="2044" spans="2:6" s="7" customFormat="1" ht="13.5">
      <c r="B2044" s="30"/>
      <c r="C2044" s="30"/>
      <c r="D2044" s="31"/>
      <c r="E2044" s="35"/>
      <c r="F2044" s="129"/>
    </row>
    <row r="2045" spans="2:6" s="7" customFormat="1" ht="13.5">
      <c r="B2045" s="30"/>
      <c r="C2045" s="30"/>
      <c r="D2045" s="31"/>
      <c r="E2045" s="35"/>
      <c r="F2045" s="129"/>
    </row>
    <row r="2046" spans="2:6" s="7" customFormat="1" ht="13.5">
      <c r="B2046" s="30"/>
      <c r="C2046" s="30"/>
      <c r="D2046" s="31"/>
      <c r="E2046" s="35"/>
      <c r="F2046" s="129"/>
    </row>
    <row r="2047" spans="2:6" s="7" customFormat="1" ht="13.5">
      <c r="B2047" s="30"/>
      <c r="C2047" s="30"/>
      <c r="D2047" s="31"/>
      <c r="E2047" s="35"/>
      <c r="F2047" s="129"/>
    </row>
    <row r="2048" spans="2:6" s="7" customFormat="1" ht="13.5">
      <c r="B2048" s="30"/>
      <c r="C2048" s="30"/>
      <c r="D2048" s="31"/>
      <c r="E2048" s="35"/>
      <c r="F2048" s="129"/>
    </row>
    <row r="2049" spans="2:6" s="7" customFormat="1" ht="13.5">
      <c r="B2049" s="30"/>
      <c r="C2049" s="30"/>
      <c r="D2049" s="31"/>
      <c r="E2049" s="35"/>
      <c r="F2049" s="129"/>
    </row>
    <row r="2050" spans="2:6" s="7" customFormat="1" ht="13.5">
      <c r="B2050" s="30"/>
      <c r="C2050" s="30"/>
      <c r="D2050" s="31"/>
      <c r="E2050" s="35"/>
      <c r="F2050" s="129"/>
    </row>
    <row r="2051" spans="2:6" s="7" customFormat="1" ht="13.5">
      <c r="B2051" s="30"/>
      <c r="C2051" s="30"/>
      <c r="D2051" s="31"/>
      <c r="E2051" s="35"/>
      <c r="F2051" s="129"/>
    </row>
    <row r="2052" spans="2:6" s="7" customFormat="1" ht="13.5">
      <c r="B2052" s="30"/>
      <c r="C2052" s="30"/>
      <c r="D2052" s="31"/>
      <c r="E2052" s="35"/>
      <c r="F2052" s="129"/>
    </row>
    <row r="2053" spans="2:6" s="7" customFormat="1" ht="13.5">
      <c r="B2053" s="30"/>
      <c r="C2053" s="30"/>
      <c r="D2053" s="31"/>
      <c r="E2053" s="35"/>
      <c r="F2053" s="129"/>
    </row>
    <row r="2054" spans="2:6" s="7" customFormat="1" ht="13.5">
      <c r="B2054" s="30"/>
      <c r="C2054" s="30"/>
      <c r="D2054" s="31"/>
      <c r="E2054" s="35"/>
      <c r="F2054" s="129"/>
    </row>
    <row r="2055" spans="2:6" s="7" customFormat="1" ht="13.5">
      <c r="B2055" s="30"/>
      <c r="C2055" s="30"/>
      <c r="D2055" s="31"/>
      <c r="E2055" s="35"/>
      <c r="F2055" s="129"/>
    </row>
    <row r="2056" spans="2:6" s="7" customFormat="1" ht="13.5">
      <c r="B2056" s="30"/>
      <c r="C2056" s="30"/>
      <c r="D2056" s="31"/>
      <c r="E2056" s="35"/>
      <c r="F2056" s="129"/>
    </row>
    <row r="2057" spans="2:6" s="7" customFormat="1" ht="13.5">
      <c r="B2057" s="30"/>
      <c r="C2057" s="30"/>
      <c r="D2057" s="31"/>
      <c r="E2057" s="35"/>
      <c r="F2057" s="129"/>
    </row>
    <row r="2058" spans="2:6" s="7" customFormat="1" ht="13.5">
      <c r="B2058" s="30"/>
      <c r="C2058" s="30"/>
      <c r="D2058" s="31"/>
      <c r="E2058" s="35"/>
      <c r="F2058" s="129"/>
    </row>
    <row r="2059" spans="2:6" s="7" customFormat="1" ht="13.5">
      <c r="B2059" s="30"/>
      <c r="C2059" s="30"/>
      <c r="D2059" s="31"/>
      <c r="E2059" s="35"/>
      <c r="F2059" s="129"/>
    </row>
    <row r="2060" spans="2:6" s="7" customFormat="1" ht="13.5">
      <c r="B2060" s="30"/>
      <c r="C2060" s="30"/>
      <c r="D2060" s="31"/>
      <c r="E2060" s="35"/>
      <c r="F2060" s="129"/>
    </row>
    <row r="2061" spans="2:6" s="7" customFormat="1" ht="13.5">
      <c r="B2061" s="30"/>
      <c r="C2061" s="30"/>
      <c r="D2061" s="31"/>
      <c r="E2061" s="35"/>
      <c r="F2061" s="129"/>
    </row>
    <row r="2062" spans="2:6" s="7" customFormat="1" ht="13.5">
      <c r="B2062" s="30"/>
      <c r="C2062" s="30"/>
      <c r="D2062" s="31"/>
      <c r="E2062" s="35"/>
      <c r="F2062" s="129"/>
    </row>
    <row r="2063" spans="2:6" s="7" customFormat="1" ht="13.5">
      <c r="B2063" s="30"/>
      <c r="C2063" s="30"/>
      <c r="D2063" s="31"/>
      <c r="E2063" s="35"/>
      <c r="F2063" s="129"/>
    </row>
    <row r="2064" spans="2:6" s="7" customFormat="1" ht="13.5">
      <c r="B2064" s="30"/>
      <c r="C2064" s="30"/>
      <c r="D2064" s="31"/>
      <c r="E2064" s="35"/>
      <c r="F2064" s="129"/>
    </row>
    <row r="2065" spans="2:6" s="7" customFormat="1" ht="13.5">
      <c r="B2065" s="30"/>
      <c r="C2065" s="30"/>
      <c r="D2065" s="31"/>
      <c r="E2065" s="35"/>
      <c r="F2065" s="129"/>
    </row>
    <row r="2066" spans="2:6" s="7" customFormat="1" ht="13.5">
      <c r="B2066" s="30"/>
      <c r="C2066" s="30"/>
      <c r="D2066" s="31"/>
      <c r="E2066" s="35"/>
      <c r="F2066" s="129"/>
    </row>
    <row r="2067" spans="2:6" s="7" customFormat="1" ht="13.5">
      <c r="B2067" s="30"/>
      <c r="C2067" s="30"/>
      <c r="D2067" s="31"/>
      <c r="E2067" s="35"/>
      <c r="F2067" s="129"/>
    </row>
    <row r="2068" spans="2:6" s="7" customFormat="1" ht="13.5">
      <c r="B2068" s="30"/>
      <c r="C2068" s="30"/>
      <c r="D2068" s="31"/>
      <c r="E2068" s="35"/>
      <c r="F2068" s="129"/>
    </row>
    <row r="2069" spans="2:6" s="7" customFormat="1" ht="13.5">
      <c r="B2069" s="30"/>
      <c r="C2069" s="30"/>
      <c r="D2069" s="31"/>
      <c r="E2069" s="35"/>
      <c r="F2069" s="129"/>
    </row>
    <row r="2070" spans="2:6" s="7" customFormat="1" ht="13.5">
      <c r="B2070" s="30"/>
      <c r="C2070" s="30"/>
      <c r="D2070" s="31"/>
      <c r="E2070" s="35"/>
      <c r="F2070" s="129"/>
    </row>
    <row r="2071" spans="2:6" s="7" customFormat="1" ht="13.5">
      <c r="B2071" s="30"/>
      <c r="C2071" s="30"/>
      <c r="D2071" s="31"/>
      <c r="E2071" s="35"/>
      <c r="F2071" s="129"/>
    </row>
    <row r="2072" spans="2:6" s="7" customFormat="1" ht="13.5">
      <c r="B2072" s="30"/>
      <c r="C2072" s="30"/>
      <c r="D2072" s="31"/>
      <c r="E2072" s="35"/>
      <c r="F2072" s="129"/>
    </row>
    <row r="2073" spans="2:6" s="7" customFormat="1" ht="13.5">
      <c r="B2073" s="30"/>
      <c r="C2073" s="30"/>
      <c r="D2073" s="31"/>
      <c r="E2073" s="35"/>
      <c r="F2073" s="129"/>
    </row>
    <row r="2074" spans="2:6" s="7" customFormat="1" ht="13.5">
      <c r="B2074" s="30"/>
      <c r="C2074" s="30"/>
      <c r="D2074" s="31"/>
      <c r="E2074" s="35"/>
      <c r="F2074" s="129"/>
    </row>
    <row r="2075" spans="2:6" s="7" customFormat="1" ht="13.5">
      <c r="B2075" s="30"/>
      <c r="C2075" s="30"/>
      <c r="D2075" s="31"/>
      <c r="E2075" s="35"/>
      <c r="F2075" s="129"/>
    </row>
    <row r="2076" spans="2:6" s="7" customFormat="1" ht="13.5">
      <c r="B2076" s="30"/>
      <c r="C2076" s="30"/>
      <c r="D2076" s="31"/>
      <c r="E2076" s="35"/>
      <c r="F2076" s="129"/>
    </row>
    <row r="2077" spans="2:6" s="7" customFormat="1" ht="13.5">
      <c r="B2077" s="30"/>
      <c r="C2077" s="30"/>
      <c r="D2077" s="31"/>
      <c r="E2077" s="35"/>
      <c r="F2077" s="129"/>
    </row>
    <row r="2078" spans="2:6" s="7" customFormat="1" ht="13.5">
      <c r="B2078" s="30"/>
      <c r="C2078" s="30"/>
      <c r="D2078" s="31"/>
      <c r="E2078" s="35"/>
      <c r="F2078" s="129"/>
    </row>
    <row r="2079" spans="2:6" s="7" customFormat="1" ht="13.5">
      <c r="B2079" s="30"/>
      <c r="C2079" s="30"/>
      <c r="D2079" s="31"/>
      <c r="E2079" s="35"/>
      <c r="F2079" s="129"/>
    </row>
    <row r="2080" spans="2:6" s="7" customFormat="1" ht="13.5">
      <c r="B2080" s="30"/>
      <c r="C2080" s="30"/>
      <c r="D2080" s="31"/>
      <c r="E2080" s="35"/>
      <c r="F2080" s="129"/>
    </row>
    <row r="2081" spans="2:6" s="7" customFormat="1" ht="13.5">
      <c r="B2081" s="30"/>
      <c r="C2081" s="30"/>
      <c r="D2081" s="31"/>
      <c r="E2081" s="35"/>
      <c r="F2081" s="129"/>
    </row>
    <row r="2082" spans="2:6" s="7" customFormat="1" ht="13.5">
      <c r="B2082" s="30"/>
      <c r="C2082" s="30"/>
      <c r="D2082" s="31"/>
      <c r="E2082" s="35"/>
      <c r="F2082" s="129"/>
    </row>
    <row r="2083" spans="2:6" s="7" customFormat="1" ht="13.5">
      <c r="B2083" s="30"/>
      <c r="C2083" s="30"/>
      <c r="D2083" s="31"/>
      <c r="E2083" s="35"/>
      <c r="F2083" s="129"/>
    </row>
    <row r="2084" spans="2:6" s="7" customFormat="1" ht="13.5">
      <c r="B2084" s="30"/>
      <c r="C2084" s="30"/>
      <c r="D2084" s="31"/>
      <c r="E2084" s="35"/>
      <c r="F2084" s="129"/>
    </row>
    <row r="2085" spans="2:6" s="7" customFormat="1" ht="13.5">
      <c r="B2085" s="30"/>
      <c r="C2085" s="30"/>
      <c r="D2085" s="31"/>
      <c r="E2085" s="35"/>
      <c r="F2085" s="129"/>
    </row>
    <row r="2086" spans="2:6" s="7" customFormat="1" ht="13.5">
      <c r="B2086" s="30"/>
      <c r="C2086" s="30"/>
      <c r="D2086" s="31"/>
      <c r="E2086" s="35"/>
      <c r="F2086" s="129"/>
    </row>
    <row r="2087" spans="2:6" s="7" customFormat="1" ht="13.5">
      <c r="B2087" s="30"/>
      <c r="C2087" s="30"/>
      <c r="D2087" s="31"/>
      <c r="E2087" s="35"/>
      <c r="F2087" s="129"/>
    </row>
    <row r="2088" spans="2:6" s="7" customFormat="1" ht="13.5">
      <c r="B2088" s="30"/>
      <c r="C2088" s="30"/>
      <c r="D2088" s="31"/>
      <c r="E2088" s="35"/>
      <c r="F2088" s="129"/>
    </row>
    <row r="2089" spans="2:6" s="7" customFormat="1" ht="13.5">
      <c r="B2089" s="30"/>
      <c r="C2089" s="30"/>
      <c r="D2089" s="31"/>
      <c r="E2089" s="35"/>
      <c r="F2089" s="129"/>
    </row>
    <row r="2090" spans="2:6" s="7" customFormat="1" ht="13.5">
      <c r="B2090" s="30"/>
      <c r="C2090" s="30"/>
      <c r="D2090" s="31"/>
      <c r="E2090" s="35"/>
      <c r="F2090" s="129"/>
    </row>
    <row r="2091" spans="2:6" s="7" customFormat="1" ht="13.5">
      <c r="B2091" s="30"/>
      <c r="C2091" s="30"/>
      <c r="D2091" s="31"/>
      <c r="E2091" s="35"/>
      <c r="F2091" s="129"/>
    </row>
    <row r="2092" spans="2:6" s="7" customFormat="1" ht="13.5">
      <c r="B2092" s="30"/>
      <c r="C2092" s="30"/>
      <c r="D2092" s="31"/>
      <c r="E2092" s="35"/>
      <c r="F2092" s="129"/>
    </row>
    <row r="2093" spans="2:6" s="7" customFormat="1" ht="13.5">
      <c r="B2093" s="30"/>
      <c r="C2093" s="30"/>
      <c r="D2093" s="31"/>
      <c r="E2093" s="35"/>
      <c r="F2093" s="129"/>
    </row>
    <row r="2094" spans="2:6" s="7" customFormat="1" ht="13.5">
      <c r="B2094" s="30"/>
      <c r="C2094" s="30"/>
      <c r="D2094" s="31"/>
      <c r="E2094" s="35"/>
      <c r="F2094" s="129"/>
    </row>
    <row r="2095" spans="2:6" s="7" customFormat="1" ht="13.5">
      <c r="B2095" s="30"/>
      <c r="C2095" s="30"/>
      <c r="D2095" s="31"/>
      <c r="E2095" s="35"/>
      <c r="F2095" s="129"/>
    </row>
    <row r="2096" spans="2:6" s="7" customFormat="1" ht="13.5">
      <c r="B2096" s="30"/>
      <c r="C2096" s="30"/>
      <c r="D2096" s="31"/>
      <c r="E2096" s="35"/>
      <c r="F2096" s="129"/>
    </row>
    <row r="2097" spans="2:6" s="7" customFormat="1" ht="13.5">
      <c r="B2097" s="30"/>
      <c r="C2097" s="30"/>
      <c r="D2097" s="31"/>
      <c r="E2097" s="35"/>
      <c r="F2097" s="129"/>
    </row>
    <row r="2098" spans="2:6" s="7" customFormat="1" ht="13.5">
      <c r="B2098" s="30"/>
      <c r="C2098" s="30"/>
      <c r="D2098" s="31"/>
      <c r="E2098" s="35"/>
      <c r="F2098" s="129"/>
    </row>
    <row r="2099" spans="2:6" s="7" customFormat="1" ht="13.5">
      <c r="B2099" s="30"/>
      <c r="C2099" s="30"/>
      <c r="D2099" s="31"/>
      <c r="E2099" s="35"/>
      <c r="F2099" s="129"/>
    </row>
    <row r="2100" spans="2:6" s="7" customFormat="1" ht="13.5">
      <c r="B2100" s="30"/>
      <c r="C2100" s="30"/>
      <c r="D2100" s="31"/>
      <c r="E2100" s="35"/>
      <c r="F2100" s="129"/>
    </row>
    <row r="2101" spans="2:6" s="7" customFormat="1" ht="13.5">
      <c r="B2101" s="30"/>
      <c r="C2101" s="30"/>
      <c r="D2101" s="31"/>
      <c r="E2101" s="35"/>
      <c r="F2101" s="129"/>
    </row>
    <row r="2102" spans="2:6" s="7" customFormat="1" ht="13.5">
      <c r="B2102" s="30"/>
      <c r="C2102" s="30"/>
      <c r="D2102" s="31"/>
      <c r="E2102" s="35"/>
      <c r="F2102" s="129"/>
    </row>
    <row r="2103" spans="2:6" s="7" customFormat="1" ht="13.5">
      <c r="B2103" s="30"/>
      <c r="C2103" s="30"/>
      <c r="D2103" s="31"/>
      <c r="E2103" s="35"/>
      <c r="F2103" s="129"/>
    </row>
    <row r="2104" spans="2:6" s="7" customFormat="1" ht="13.5">
      <c r="B2104" s="30"/>
      <c r="C2104" s="30"/>
      <c r="D2104" s="31"/>
      <c r="E2104" s="35"/>
      <c r="F2104" s="129"/>
    </row>
    <row r="2105" spans="2:6" s="7" customFormat="1" ht="13.5">
      <c r="B2105" s="30"/>
      <c r="C2105" s="30"/>
      <c r="D2105" s="31"/>
      <c r="E2105" s="35"/>
      <c r="F2105" s="129"/>
    </row>
    <row r="2106" spans="2:6" s="7" customFormat="1" ht="13.5">
      <c r="B2106" s="30"/>
      <c r="C2106" s="30"/>
      <c r="D2106" s="31"/>
      <c r="E2106" s="35"/>
      <c r="F2106" s="129"/>
    </row>
    <row r="2107" spans="2:6" s="7" customFormat="1" ht="13.5">
      <c r="B2107" s="30"/>
      <c r="C2107" s="30"/>
      <c r="D2107" s="31"/>
      <c r="E2107" s="35"/>
      <c r="F2107" s="129"/>
    </row>
    <row r="2108" spans="2:6" s="7" customFormat="1" ht="13.5">
      <c r="B2108" s="30"/>
      <c r="C2108" s="30"/>
      <c r="D2108" s="31"/>
      <c r="E2108" s="35"/>
      <c r="F2108" s="129"/>
    </row>
    <row r="2109" spans="2:6" s="7" customFormat="1" ht="13.5">
      <c r="B2109" s="30"/>
      <c r="C2109" s="30"/>
      <c r="D2109" s="31"/>
      <c r="E2109" s="35"/>
      <c r="F2109" s="129"/>
    </row>
    <row r="2110" spans="2:6" s="7" customFormat="1" ht="13.5">
      <c r="B2110" s="30"/>
      <c r="C2110" s="30"/>
      <c r="D2110" s="31"/>
      <c r="E2110" s="35"/>
      <c r="F2110" s="129"/>
    </row>
    <row r="2111" spans="2:6" s="7" customFormat="1" ht="13.5">
      <c r="B2111" s="30"/>
      <c r="C2111" s="30"/>
      <c r="D2111" s="31"/>
      <c r="E2111" s="35"/>
      <c r="F2111" s="129"/>
    </row>
    <row r="2112" spans="2:6" s="7" customFormat="1" ht="13.5">
      <c r="B2112" s="30"/>
      <c r="C2112" s="30"/>
      <c r="D2112" s="31"/>
      <c r="E2112" s="35"/>
      <c r="F2112" s="129"/>
    </row>
    <row r="2113" spans="2:6" s="7" customFormat="1" ht="13.5">
      <c r="B2113" s="30"/>
      <c r="C2113" s="30"/>
      <c r="D2113" s="31"/>
      <c r="E2113" s="35"/>
      <c r="F2113" s="129"/>
    </row>
    <row r="2114" spans="2:6" s="7" customFormat="1" ht="13.5">
      <c r="B2114" s="30"/>
      <c r="C2114" s="30"/>
      <c r="D2114" s="31"/>
      <c r="E2114" s="35"/>
      <c r="F2114" s="129"/>
    </row>
    <row r="2115" spans="2:6" s="7" customFormat="1" ht="13.5">
      <c r="B2115" s="30"/>
      <c r="C2115" s="30"/>
      <c r="D2115" s="31"/>
      <c r="E2115" s="35"/>
      <c r="F2115" s="129"/>
    </row>
    <row r="2116" spans="2:6" s="7" customFormat="1" ht="13.5">
      <c r="B2116" s="30"/>
      <c r="C2116" s="30"/>
      <c r="D2116" s="31"/>
      <c r="E2116" s="35"/>
      <c r="F2116" s="129"/>
    </row>
    <row r="2117" spans="2:6" s="7" customFormat="1" ht="13.5">
      <c r="B2117" s="30"/>
      <c r="C2117" s="30"/>
      <c r="D2117" s="31"/>
      <c r="E2117" s="35"/>
      <c r="F2117" s="129"/>
    </row>
    <row r="2118" spans="2:6" s="7" customFormat="1" ht="13.5">
      <c r="B2118" s="30"/>
      <c r="C2118" s="30"/>
      <c r="D2118" s="31"/>
      <c r="E2118" s="35"/>
      <c r="F2118" s="129"/>
    </row>
    <row r="2119" spans="2:6" s="7" customFormat="1" ht="13.5">
      <c r="B2119" s="30"/>
      <c r="C2119" s="30"/>
      <c r="D2119" s="31"/>
      <c r="E2119" s="35"/>
      <c r="F2119" s="129"/>
    </row>
    <row r="2120" spans="2:6" s="7" customFormat="1" ht="13.5">
      <c r="B2120" s="30"/>
      <c r="C2120" s="30"/>
      <c r="D2120" s="31"/>
      <c r="E2120" s="35"/>
      <c r="F2120" s="129"/>
    </row>
    <row r="2121" spans="2:6" s="7" customFormat="1" ht="13.5">
      <c r="B2121" s="30"/>
      <c r="C2121" s="30"/>
      <c r="D2121" s="31"/>
      <c r="E2121" s="35"/>
      <c r="F2121" s="129"/>
    </row>
    <row r="2122" spans="2:6" s="7" customFormat="1" ht="13.5">
      <c r="B2122" s="30"/>
      <c r="C2122" s="30"/>
      <c r="D2122" s="31"/>
      <c r="E2122" s="35"/>
      <c r="F2122" s="129"/>
    </row>
    <row r="2123" spans="2:6" s="7" customFormat="1" ht="13.5">
      <c r="B2123" s="30"/>
      <c r="C2123" s="30"/>
      <c r="D2123" s="31"/>
      <c r="E2123" s="35"/>
      <c r="F2123" s="129"/>
    </row>
    <row r="2124" spans="2:6" s="7" customFormat="1" ht="13.5">
      <c r="B2124" s="30"/>
      <c r="C2124" s="30"/>
      <c r="D2124" s="31"/>
      <c r="E2124" s="35"/>
      <c r="F2124" s="129"/>
    </row>
    <row r="2125" spans="2:6" s="7" customFormat="1" ht="13.5">
      <c r="B2125" s="30"/>
      <c r="C2125" s="30"/>
      <c r="D2125" s="31"/>
      <c r="E2125" s="35"/>
      <c r="F2125" s="129"/>
    </row>
    <row r="2126" spans="2:6" s="7" customFormat="1" ht="13.5">
      <c r="B2126" s="30"/>
      <c r="C2126" s="30"/>
      <c r="D2126" s="31"/>
      <c r="E2126" s="35"/>
      <c r="F2126" s="129"/>
    </row>
    <row r="2127" spans="2:6" s="7" customFormat="1" ht="13.5">
      <c r="B2127" s="30"/>
      <c r="C2127" s="30"/>
      <c r="D2127" s="31"/>
      <c r="E2127" s="35"/>
      <c r="F2127" s="129"/>
    </row>
    <row r="2128" spans="2:6" s="7" customFormat="1" ht="13.5">
      <c r="B2128" s="30"/>
      <c r="C2128" s="30"/>
      <c r="D2128" s="31"/>
      <c r="E2128" s="35"/>
      <c r="F2128" s="129"/>
    </row>
    <row r="2129" spans="2:6" s="7" customFormat="1" ht="13.5">
      <c r="B2129" s="30"/>
      <c r="C2129" s="30"/>
      <c r="D2129" s="31"/>
      <c r="E2129" s="35"/>
      <c r="F2129" s="129"/>
    </row>
    <row r="2130" spans="2:6" s="7" customFormat="1" ht="13.5">
      <c r="B2130" s="30"/>
      <c r="C2130" s="30"/>
      <c r="D2130" s="31"/>
      <c r="E2130" s="35"/>
      <c r="F2130" s="129"/>
    </row>
    <row r="2131" spans="2:6" s="7" customFormat="1" ht="13.5">
      <c r="B2131" s="30"/>
      <c r="C2131" s="30"/>
      <c r="D2131" s="31"/>
      <c r="E2131" s="35"/>
      <c r="F2131" s="129"/>
    </row>
    <row r="2132" spans="2:6" s="7" customFormat="1" ht="13.5">
      <c r="B2132" s="30"/>
      <c r="C2132" s="30"/>
      <c r="D2132" s="31"/>
      <c r="E2132" s="35"/>
      <c r="F2132" s="129"/>
    </row>
    <row r="2133" spans="2:6" s="7" customFormat="1" ht="13.5">
      <c r="B2133" s="30"/>
      <c r="C2133" s="30"/>
      <c r="D2133" s="31"/>
      <c r="E2133" s="35"/>
      <c r="F2133" s="129"/>
    </row>
    <row r="2134" spans="2:6" s="7" customFormat="1" ht="13.5">
      <c r="B2134" s="30"/>
      <c r="C2134" s="30"/>
      <c r="D2134" s="31"/>
      <c r="E2134" s="35"/>
      <c r="F2134" s="129"/>
    </row>
    <row r="2135" spans="2:6" s="7" customFormat="1" ht="13.5">
      <c r="B2135" s="30"/>
      <c r="C2135" s="30"/>
      <c r="D2135" s="31"/>
      <c r="E2135" s="35"/>
      <c r="F2135" s="129"/>
    </row>
    <row r="2136" spans="2:6" s="7" customFormat="1" ht="13.5">
      <c r="B2136" s="30"/>
      <c r="C2136" s="30"/>
      <c r="D2136" s="31"/>
      <c r="E2136" s="35"/>
      <c r="F2136" s="129"/>
    </row>
    <row r="2137" spans="2:6" s="7" customFormat="1" ht="13.5">
      <c r="B2137" s="30"/>
      <c r="C2137" s="30"/>
      <c r="D2137" s="31"/>
      <c r="E2137" s="35"/>
      <c r="F2137" s="129"/>
    </row>
    <row r="2138" spans="2:6" s="7" customFormat="1" ht="13.5">
      <c r="B2138" s="30"/>
      <c r="C2138" s="30"/>
      <c r="D2138" s="31"/>
      <c r="E2138" s="35"/>
      <c r="F2138" s="129"/>
    </row>
    <row r="2139" spans="2:6" s="7" customFormat="1" ht="13.5">
      <c r="B2139" s="30"/>
      <c r="C2139" s="30"/>
      <c r="D2139" s="31"/>
      <c r="E2139" s="35"/>
      <c r="F2139" s="129"/>
    </row>
    <row r="2140" spans="2:6" s="7" customFormat="1" ht="13.5">
      <c r="B2140" s="30"/>
      <c r="C2140" s="30"/>
      <c r="D2140" s="31"/>
      <c r="E2140" s="35"/>
      <c r="F2140" s="129"/>
    </row>
    <row r="2141" spans="2:6" s="7" customFormat="1" ht="13.5">
      <c r="B2141" s="30"/>
      <c r="C2141" s="30"/>
      <c r="D2141" s="31"/>
      <c r="E2141" s="35"/>
      <c r="F2141" s="129"/>
    </row>
    <row r="2142" spans="2:6" s="7" customFormat="1" ht="13.5">
      <c r="B2142" s="30"/>
      <c r="C2142" s="30"/>
      <c r="D2142" s="31"/>
      <c r="E2142" s="35"/>
      <c r="F2142" s="129"/>
    </row>
    <row r="2143" spans="2:6" s="7" customFormat="1" ht="13.5">
      <c r="B2143" s="30"/>
      <c r="C2143" s="30"/>
      <c r="D2143" s="31"/>
      <c r="E2143" s="35"/>
      <c r="F2143" s="129"/>
    </row>
    <row r="2144" spans="2:6" s="7" customFormat="1" ht="13.5">
      <c r="B2144" s="30"/>
      <c r="C2144" s="30"/>
      <c r="D2144" s="31"/>
      <c r="E2144" s="35"/>
      <c r="F2144" s="129"/>
    </row>
    <row r="2145" spans="2:6" s="7" customFormat="1" ht="13.5">
      <c r="B2145" s="30"/>
      <c r="C2145" s="30"/>
      <c r="D2145" s="31"/>
      <c r="E2145" s="35"/>
      <c r="F2145" s="129"/>
    </row>
    <row r="2146" spans="2:6" s="7" customFormat="1" ht="13.5">
      <c r="B2146" s="30"/>
      <c r="C2146" s="30"/>
      <c r="D2146" s="31"/>
      <c r="E2146" s="35"/>
      <c r="F2146" s="129"/>
    </row>
    <row r="2147" spans="2:6" s="7" customFormat="1" ht="13.5">
      <c r="B2147" s="30"/>
      <c r="C2147" s="30"/>
      <c r="D2147" s="31"/>
      <c r="E2147" s="35"/>
      <c r="F2147" s="129"/>
    </row>
    <row r="2148" spans="2:6" s="7" customFormat="1" ht="13.5">
      <c r="B2148" s="30"/>
      <c r="C2148" s="30"/>
      <c r="D2148" s="31"/>
      <c r="E2148" s="35"/>
      <c r="F2148" s="129"/>
    </row>
    <row r="2149" spans="2:6" s="7" customFormat="1" ht="13.5">
      <c r="B2149" s="30"/>
      <c r="C2149" s="30"/>
      <c r="D2149" s="31"/>
      <c r="E2149" s="35"/>
      <c r="F2149" s="129"/>
    </row>
    <row r="2150" spans="2:6" s="7" customFormat="1" ht="13.5">
      <c r="B2150" s="30"/>
      <c r="C2150" s="30"/>
      <c r="D2150" s="31"/>
      <c r="E2150" s="35"/>
      <c r="F2150" s="129"/>
    </row>
    <row r="2151" spans="2:6" s="7" customFormat="1" ht="13.5">
      <c r="B2151" s="30"/>
      <c r="C2151" s="30"/>
      <c r="D2151" s="31"/>
      <c r="E2151" s="35"/>
      <c r="F2151" s="129"/>
    </row>
    <row r="2152" spans="2:6" s="7" customFormat="1" ht="13.5">
      <c r="B2152" s="30"/>
      <c r="C2152" s="30"/>
      <c r="D2152" s="31"/>
      <c r="E2152" s="35"/>
      <c r="F2152" s="129"/>
    </row>
    <row r="2153" spans="2:6" s="7" customFormat="1" ht="13.5">
      <c r="B2153" s="30"/>
      <c r="C2153" s="30"/>
      <c r="D2153" s="31"/>
      <c r="E2153" s="35"/>
      <c r="F2153" s="129"/>
    </row>
    <row r="2154" spans="2:6" s="7" customFormat="1" ht="13.5">
      <c r="B2154" s="30"/>
      <c r="C2154" s="30"/>
      <c r="D2154" s="31"/>
      <c r="E2154" s="35"/>
      <c r="F2154" s="129"/>
    </row>
    <row r="2155" spans="2:6" s="7" customFormat="1" ht="13.5">
      <c r="B2155" s="30"/>
      <c r="C2155" s="30"/>
      <c r="D2155" s="31"/>
      <c r="E2155" s="35"/>
      <c r="F2155" s="129"/>
    </row>
    <row r="2156" spans="2:6" s="7" customFormat="1" ht="13.5">
      <c r="B2156" s="30"/>
      <c r="C2156" s="30"/>
      <c r="D2156" s="31"/>
      <c r="E2156" s="35"/>
      <c r="F2156" s="129"/>
    </row>
    <row r="2157" spans="2:6" s="7" customFormat="1" ht="13.5">
      <c r="B2157" s="30"/>
      <c r="C2157" s="30"/>
      <c r="D2157" s="31"/>
      <c r="E2157" s="35"/>
      <c r="F2157" s="129"/>
    </row>
    <row r="2158" spans="2:6" s="7" customFormat="1" ht="13.5">
      <c r="B2158" s="30"/>
      <c r="C2158" s="30"/>
      <c r="D2158" s="31"/>
      <c r="E2158" s="35"/>
      <c r="F2158" s="129"/>
    </row>
    <row r="2159" spans="2:6" s="7" customFormat="1" ht="13.5">
      <c r="B2159" s="30"/>
      <c r="C2159" s="30"/>
      <c r="D2159" s="31"/>
      <c r="E2159" s="35"/>
      <c r="F2159" s="129"/>
    </row>
    <row r="2160" spans="2:6" s="7" customFormat="1" ht="13.5">
      <c r="B2160" s="30"/>
      <c r="C2160" s="30"/>
      <c r="D2160" s="31"/>
      <c r="E2160" s="35"/>
      <c r="F2160" s="129"/>
    </row>
    <row r="2161" spans="2:6" s="7" customFormat="1" ht="13.5">
      <c r="B2161" s="30"/>
      <c r="C2161" s="30"/>
      <c r="D2161" s="31"/>
      <c r="E2161" s="35"/>
      <c r="F2161" s="129"/>
    </row>
    <row r="2162" spans="2:6" s="7" customFormat="1" ht="13.5">
      <c r="B2162" s="30"/>
      <c r="C2162" s="30"/>
      <c r="D2162" s="31"/>
      <c r="E2162" s="35"/>
      <c r="F2162" s="129"/>
    </row>
    <row r="2163" spans="2:6" s="7" customFormat="1" ht="13.5">
      <c r="B2163" s="30"/>
      <c r="C2163" s="30"/>
      <c r="D2163" s="31"/>
      <c r="E2163" s="35"/>
      <c r="F2163" s="129"/>
    </row>
    <row r="2164" spans="2:6" s="7" customFormat="1" ht="13.5">
      <c r="B2164" s="30"/>
      <c r="C2164" s="30"/>
      <c r="D2164" s="31"/>
      <c r="E2164" s="35"/>
      <c r="F2164" s="129"/>
    </row>
    <row r="2165" spans="2:6" s="7" customFormat="1" ht="13.5">
      <c r="B2165" s="30"/>
      <c r="C2165" s="30"/>
      <c r="D2165" s="31"/>
      <c r="E2165" s="35"/>
      <c r="F2165" s="129"/>
    </row>
    <row r="2166" spans="2:6" s="7" customFormat="1" ht="13.5">
      <c r="B2166" s="30"/>
      <c r="C2166" s="30"/>
      <c r="D2166" s="31"/>
      <c r="E2166" s="35"/>
      <c r="F2166" s="129"/>
    </row>
    <row r="2167" spans="2:6" s="7" customFormat="1" ht="13.5">
      <c r="B2167" s="30"/>
      <c r="C2167" s="30"/>
      <c r="D2167" s="31"/>
      <c r="E2167" s="35"/>
      <c r="F2167" s="129"/>
    </row>
    <row r="2168" spans="2:6" s="7" customFormat="1" ht="13.5">
      <c r="B2168" s="30"/>
      <c r="C2168" s="30"/>
      <c r="D2168" s="31"/>
      <c r="E2168" s="35"/>
      <c r="F2168" s="129"/>
    </row>
    <row r="2169" spans="2:6" s="7" customFormat="1" ht="13.5">
      <c r="B2169" s="30"/>
      <c r="C2169" s="30"/>
      <c r="D2169" s="31"/>
      <c r="E2169" s="35"/>
      <c r="F2169" s="129"/>
    </row>
    <row r="2170" spans="2:6" s="7" customFormat="1" ht="13.5">
      <c r="B2170" s="30"/>
      <c r="C2170" s="30"/>
      <c r="D2170" s="31"/>
      <c r="E2170" s="35"/>
      <c r="F2170" s="129"/>
    </row>
    <row r="2171" spans="2:6" s="7" customFormat="1" ht="13.5">
      <c r="B2171" s="30"/>
      <c r="C2171" s="30"/>
      <c r="D2171" s="31"/>
      <c r="E2171" s="35"/>
      <c r="F2171" s="129"/>
    </row>
    <row r="2172" spans="2:6" s="7" customFormat="1" ht="13.5">
      <c r="B2172" s="30"/>
      <c r="C2172" s="30"/>
      <c r="D2172" s="31"/>
      <c r="E2172" s="35"/>
      <c r="F2172" s="129"/>
    </row>
    <row r="2173" spans="2:6" s="7" customFormat="1" ht="13.5">
      <c r="B2173" s="30"/>
      <c r="C2173" s="30"/>
      <c r="D2173" s="31"/>
      <c r="E2173" s="35"/>
      <c r="F2173" s="129"/>
    </row>
    <row r="2174" spans="2:6" s="7" customFormat="1" ht="13.5">
      <c r="B2174" s="30"/>
      <c r="C2174" s="30"/>
      <c r="D2174" s="31"/>
      <c r="E2174" s="35"/>
      <c r="F2174" s="129"/>
    </row>
    <row r="2175" spans="2:6" s="7" customFormat="1" ht="13.5">
      <c r="B2175" s="30"/>
      <c r="C2175" s="30"/>
      <c r="D2175" s="31"/>
      <c r="E2175" s="35"/>
      <c r="F2175" s="129"/>
    </row>
    <row r="2176" spans="2:6" s="7" customFormat="1" ht="13.5">
      <c r="B2176" s="30"/>
      <c r="C2176" s="30"/>
      <c r="D2176" s="31"/>
      <c r="E2176" s="35"/>
      <c r="F2176" s="129"/>
    </row>
    <row r="2177" spans="2:6" s="7" customFormat="1" ht="13.5">
      <c r="B2177" s="30"/>
      <c r="C2177" s="30"/>
      <c r="D2177" s="31"/>
      <c r="E2177" s="35"/>
      <c r="F2177" s="129"/>
    </row>
    <row r="2178" spans="2:6" s="7" customFormat="1" ht="13.5">
      <c r="B2178" s="30"/>
      <c r="C2178" s="30"/>
      <c r="D2178" s="31"/>
      <c r="E2178" s="35"/>
      <c r="F2178" s="129"/>
    </row>
    <row r="2179" spans="2:6" s="7" customFormat="1" ht="13.5">
      <c r="B2179" s="30"/>
      <c r="C2179" s="30"/>
      <c r="D2179" s="31"/>
      <c r="E2179" s="35"/>
      <c r="F2179" s="129"/>
    </row>
    <row r="2180" spans="2:6" s="7" customFormat="1" ht="13.5">
      <c r="B2180" s="30"/>
      <c r="C2180" s="30"/>
      <c r="D2180" s="31"/>
      <c r="E2180" s="35"/>
      <c r="F2180" s="129"/>
    </row>
    <row r="2181" spans="2:6" s="7" customFormat="1" ht="13.5">
      <c r="B2181" s="30"/>
      <c r="C2181" s="30"/>
      <c r="D2181" s="31"/>
      <c r="E2181" s="35"/>
      <c r="F2181" s="129"/>
    </row>
    <row r="2182" spans="2:6" s="7" customFormat="1" ht="13.5">
      <c r="B2182" s="30"/>
      <c r="C2182" s="30"/>
      <c r="D2182" s="31"/>
      <c r="E2182" s="35"/>
      <c r="F2182" s="129"/>
    </row>
    <row r="2183" spans="2:6" s="7" customFormat="1" ht="13.5">
      <c r="B2183" s="30"/>
      <c r="C2183" s="30"/>
      <c r="D2183" s="31"/>
      <c r="E2183" s="35"/>
      <c r="F2183" s="129"/>
    </row>
    <row r="2184" spans="2:6" s="7" customFormat="1" ht="13.5">
      <c r="B2184" s="30"/>
      <c r="C2184" s="30"/>
      <c r="D2184" s="31"/>
      <c r="E2184" s="35"/>
      <c r="F2184" s="129"/>
    </row>
    <row r="2185" spans="2:6" s="7" customFormat="1" ht="13.5">
      <c r="B2185" s="30"/>
      <c r="C2185" s="30"/>
      <c r="D2185" s="31"/>
      <c r="E2185" s="35"/>
      <c r="F2185" s="129"/>
    </row>
    <row r="2186" spans="2:6" s="7" customFormat="1" ht="13.5">
      <c r="B2186" s="30"/>
      <c r="C2186" s="30"/>
      <c r="D2186" s="31"/>
      <c r="E2186" s="35"/>
      <c r="F2186" s="129"/>
    </row>
    <row r="2187" spans="2:6" s="7" customFormat="1" ht="13.5">
      <c r="B2187" s="30"/>
      <c r="C2187" s="30"/>
      <c r="D2187" s="31"/>
      <c r="E2187" s="35"/>
      <c r="F2187" s="129"/>
    </row>
    <row r="2188" spans="2:6" s="7" customFormat="1" ht="13.5">
      <c r="B2188" s="30"/>
      <c r="C2188" s="30"/>
      <c r="D2188" s="31"/>
      <c r="E2188" s="35"/>
      <c r="F2188" s="129"/>
    </row>
    <row r="2189" spans="2:6" s="7" customFormat="1" ht="13.5">
      <c r="B2189" s="30"/>
      <c r="C2189" s="30"/>
      <c r="D2189" s="31"/>
      <c r="E2189" s="35"/>
      <c r="F2189" s="129"/>
    </row>
    <row r="2190" spans="2:6" s="7" customFormat="1" ht="13.5">
      <c r="B2190" s="30"/>
      <c r="C2190" s="30"/>
      <c r="D2190" s="31"/>
      <c r="E2190" s="35"/>
      <c r="F2190" s="129"/>
    </row>
    <row r="2191" spans="2:6" s="7" customFormat="1" ht="13.5">
      <c r="B2191" s="30"/>
      <c r="C2191" s="30"/>
      <c r="D2191" s="31"/>
      <c r="E2191" s="35"/>
      <c r="F2191" s="129"/>
    </row>
    <row r="2192" spans="2:6" s="7" customFormat="1" ht="13.5">
      <c r="B2192" s="30"/>
      <c r="C2192" s="30"/>
      <c r="D2192" s="31"/>
      <c r="E2192" s="35"/>
      <c r="F2192" s="129"/>
    </row>
    <row r="2193" spans="2:6" s="7" customFormat="1" ht="13.5">
      <c r="B2193" s="30"/>
      <c r="C2193" s="30"/>
      <c r="D2193" s="31"/>
      <c r="E2193" s="35"/>
      <c r="F2193" s="129"/>
    </row>
    <row r="2194" spans="2:6" s="7" customFormat="1" ht="13.5">
      <c r="B2194" s="30"/>
      <c r="C2194" s="30"/>
      <c r="D2194" s="31"/>
      <c r="E2194" s="35"/>
      <c r="F2194" s="129"/>
    </row>
    <row r="2195" spans="2:6" s="7" customFormat="1" ht="13.5">
      <c r="B2195" s="30"/>
      <c r="C2195" s="30"/>
      <c r="D2195" s="31"/>
      <c r="E2195" s="35"/>
      <c r="F2195" s="129"/>
    </row>
    <row r="2196" spans="2:6" s="7" customFormat="1" ht="13.5">
      <c r="B2196" s="30"/>
      <c r="C2196" s="30"/>
      <c r="D2196" s="31"/>
      <c r="E2196" s="35"/>
      <c r="F2196" s="129"/>
    </row>
    <row r="2197" spans="2:6" s="7" customFormat="1" ht="13.5">
      <c r="B2197" s="30"/>
      <c r="C2197" s="30"/>
      <c r="D2197" s="31"/>
      <c r="E2197" s="35"/>
      <c r="F2197" s="129"/>
    </row>
    <row r="2198" spans="2:6" s="7" customFormat="1" ht="13.5">
      <c r="B2198" s="30"/>
      <c r="C2198" s="30"/>
      <c r="D2198" s="31"/>
      <c r="E2198" s="35"/>
      <c r="F2198" s="129"/>
    </row>
    <row r="2199" spans="2:6" s="7" customFormat="1" ht="13.5">
      <c r="B2199" s="30"/>
      <c r="C2199" s="30"/>
      <c r="D2199" s="31"/>
      <c r="E2199" s="35"/>
      <c r="F2199" s="129"/>
    </row>
    <row r="2200" spans="2:6" s="7" customFormat="1" ht="13.5">
      <c r="B2200" s="30"/>
      <c r="C2200" s="30"/>
      <c r="D2200" s="31"/>
      <c r="E2200" s="35"/>
      <c r="F2200" s="129"/>
    </row>
    <row r="2201" spans="2:6" s="7" customFormat="1" ht="13.5">
      <c r="B2201" s="30"/>
      <c r="C2201" s="30"/>
      <c r="D2201" s="31"/>
      <c r="E2201" s="35"/>
      <c r="F2201" s="129"/>
    </row>
    <row r="2202" spans="2:6" s="7" customFormat="1" ht="13.5">
      <c r="B2202" s="30"/>
      <c r="C2202" s="30"/>
      <c r="D2202" s="31"/>
      <c r="E2202" s="35"/>
      <c r="F2202" s="129"/>
    </row>
    <row r="2203" spans="2:6" s="7" customFormat="1" ht="13.5">
      <c r="B2203" s="30"/>
      <c r="C2203" s="30"/>
      <c r="D2203" s="31"/>
      <c r="E2203" s="35"/>
      <c r="F2203" s="129"/>
    </row>
    <row r="2204" spans="2:6" s="7" customFormat="1" ht="13.5">
      <c r="B2204" s="30"/>
      <c r="C2204" s="30"/>
      <c r="D2204" s="31"/>
      <c r="E2204" s="35"/>
      <c r="F2204" s="129"/>
    </row>
    <row r="2205" spans="2:6" s="7" customFormat="1" ht="13.5">
      <c r="B2205" s="30"/>
      <c r="C2205" s="30"/>
      <c r="D2205" s="31"/>
      <c r="E2205" s="35"/>
      <c r="F2205" s="129"/>
    </row>
    <row r="2206" spans="2:6" s="7" customFormat="1" ht="13.5">
      <c r="B2206" s="30"/>
      <c r="C2206" s="30"/>
      <c r="D2206" s="31"/>
      <c r="E2206" s="35"/>
      <c r="F2206" s="129"/>
    </row>
    <row r="2207" spans="2:6" s="7" customFormat="1" ht="13.5">
      <c r="B2207" s="30"/>
      <c r="C2207" s="30"/>
      <c r="D2207" s="31"/>
      <c r="E2207" s="35"/>
      <c r="F2207" s="129"/>
    </row>
    <row r="2208" spans="2:6" s="7" customFormat="1" ht="13.5">
      <c r="B2208" s="30"/>
      <c r="C2208" s="30"/>
      <c r="D2208" s="31"/>
      <c r="E2208" s="35"/>
      <c r="F2208" s="129"/>
    </row>
    <row r="2209" spans="2:6" s="7" customFormat="1" ht="13.5">
      <c r="B2209" s="30"/>
      <c r="C2209" s="30"/>
      <c r="D2209" s="31"/>
      <c r="E2209" s="35"/>
      <c r="F2209" s="129"/>
    </row>
    <row r="2210" spans="2:6" s="7" customFormat="1" ht="13.5">
      <c r="B2210" s="30"/>
      <c r="C2210" s="30"/>
      <c r="D2210" s="31"/>
      <c r="E2210" s="35"/>
      <c r="F2210" s="129"/>
    </row>
    <row r="2211" spans="2:6" s="7" customFormat="1" ht="13.5">
      <c r="B2211" s="30"/>
      <c r="C2211" s="30"/>
      <c r="D2211" s="31"/>
      <c r="E2211" s="35"/>
      <c r="F2211" s="129"/>
    </row>
    <row r="2212" spans="2:6" s="7" customFormat="1" ht="13.5">
      <c r="B2212" s="30"/>
      <c r="C2212" s="30"/>
      <c r="D2212" s="31"/>
      <c r="E2212" s="35"/>
      <c r="F2212" s="129"/>
    </row>
    <row r="2213" spans="2:6" s="7" customFormat="1" ht="13.5">
      <c r="B2213" s="30"/>
      <c r="C2213" s="30"/>
      <c r="D2213" s="31"/>
      <c r="E2213" s="35"/>
      <c r="F2213" s="129"/>
    </row>
    <row r="2214" spans="2:6" s="7" customFormat="1" ht="13.5">
      <c r="B2214" s="30"/>
      <c r="C2214" s="30"/>
      <c r="D2214" s="31"/>
      <c r="E2214" s="35"/>
      <c r="F2214" s="129"/>
    </row>
    <row r="2215" spans="2:6" s="7" customFormat="1" ht="13.5">
      <c r="B2215" s="30"/>
      <c r="C2215" s="30"/>
      <c r="D2215" s="31"/>
      <c r="E2215" s="35"/>
      <c r="F2215" s="129"/>
    </row>
    <row r="2216" spans="2:6" s="7" customFormat="1" ht="13.5">
      <c r="B2216" s="30"/>
      <c r="C2216" s="30"/>
      <c r="D2216" s="31"/>
      <c r="E2216" s="35"/>
      <c r="F2216" s="129"/>
    </row>
    <row r="2217" spans="2:6" s="7" customFormat="1" ht="13.5">
      <c r="B2217" s="30"/>
      <c r="C2217" s="30"/>
      <c r="D2217" s="31"/>
      <c r="E2217" s="35"/>
      <c r="F2217" s="129"/>
    </row>
    <row r="2218" spans="2:6" s="7" customFormat="1" ht="13.5">
      <c r="B2218" s="30"/>
      <c r="C2218" s="30"/>
      <c r="D2218" s="31"/>
      <c r="E2218" s="35"/>
      <c r="F2218" s="129"/>
    </row>
    <row r="2219" spans="2:6" s="7" customFormat="1" ht="13.5">
      <c r="B2219" s="30"/>
      <c r="C2219" s="30"/>
      <c r="D2219" s="31"/>
      <c r="E2219" s="35"/>
      <c r="F2219" s="129"/>
    </row>
    <row r="2220" spans="2:6" s="7" customFormat="1" ht="13.5">
      <c r="B2220" s="30"/>
      <c r="C2220" s="30"/>
      <c r="D2220" s="31"/>
      <c r="E2220" s="35"/>
      <c r="F2220" s="129"/>
    </row>
    <row r="2221" spans="2:6" s="7" customFormat="1" ht="13.5">
      <c r="B2221" s="30"/>
      <c r="C2221" s="30"/>
      <c r="D2221" s="31"/>
      <c r="E2221" s="35"/>
      <c r="F2221" s="129"/>
    </row>
    <row r="2222" spans="2:6" s="7" customFormat="1" ht="13.5">
      <c r="B2222" s="30"/>
      <c r="C2222" s="30"/>
      <c r="D2222" s="31"/>
      <c r="E2222" s="35"/>
      <c r="F2222" s="129"/>
    </row>
    <row r="2223" spans="2:6" s="7" customFormat="1" ht="13.5">
      <c r="B2223" s="30"/>
      <c r="C2223" s="30"/>
      <c r="D2223" s="31"/>
      <c r="E2223" s="35"/>
      <c r="F2223" s="129"/>
    </row>
    <row r="2224" spans="2:6" s="7" customFormat="1" ht="13.5">
      <c r="B2224" s="30"/>
      <c r="C2224" s="30"/>
      <c r="D2224" s="31"/>
      <c r="E2224" s="35"/>
      <c r="F2224" s="129"/>
    </row>
    <row r="2225" spans="2:6" s="7" customFormat="1" ht="13.5">
      <c r="B2225" s="30"/>
      <c r="C2225" s="30"/>
      <c r="D2225" s="31"/>
      <c r="E2225" s="35"/>
      <c r="F2225" s="129"/>
    </row>
    <row r="2226" spans="2:6" s="7" customFormat="1" ht="13.5">
      <c r="B2226" s="30"/>
      <c r="C2226" s="30"/>
      <c r="D2226" s="31"/>
      <c r="E2226" s="35"/>
      <c r="F2226" s="129"/>
    </row>
    <row r="2227" spans="2:6" s="7" customFormat="1" ht="13.5">
      <c r="B2227" s="30"/>
      <c r="C2227" s="30"/>
      <c r="D2227" s="31"/>
      <c r="E2227" s="35"/>
      <c r="F2227" s="129"/>
    </row>
    <row r="2228" spans="2:6" s="7" customFormat="1" ht="13.5">
      <c r="B2228" s="30"/>
      <c r="C2228" s="30"/>
      <c r="D2228" s="31"/>
      <c r="E2228" s="35"/>
      <c r="F2228" s="129"/>
    </row>
    <row r="2229" spans="2:6" s="7" customFormat="1" ht="13.5">
      <c r="B2229" s="30"/>
      <c r="C2229" s="30"/>
      <c r="D2229" s="31"/>
      <c r="E2229" s="35"/>
      <c r="F2229" s="129"/>
    </row>
    <row r="2230" spans="2:6" s="7" customFormat="1" ht="13.5">
      <c r="B2230" s="30"/>
      <c r="C2230" s="30"/>
      <c r="D2230" s="31"/>
      <c r="E2230" s="35"/>
      <c r="F2230" s="129"/>
    </row>
    <row r="2231" spans="2:6" s="7" customFormat="1" ht="13.5">
      <c r="B2231" s="30"/>
      <c r="C2231" s="30"/>
      <c r="D2231" s="31"/>
      <c r="E2231" s="35"/>
      <c r="F2231" s="129"/>
    </row>
    <row r="2232" spans="2:6" s="7" customFormat="1" ht="13.5">
      <c r="B2232" s="30"/>
      <c r="C2232" s="30"/>
      <c r="D2232" s="31"/>
      <c r="E2232" s="35"/>
      <c r="F2232" s="129"/>
    </row>
    <row r="2233" spans="2:6" s="7" customFormat="1" ht="13.5">
      <c r="B2233" s="30"/>
      <c r="C2233" s="30"/>
      <c r="D2233" s="31"/>
      <c r="E2233" s="35"/>
      <c r="F2233" s="129"/>
    </row>
    <row r="2234" spans="2:6" s="7" customFormat="1" ht="13.5">
      <c r="B2234" s="30"/>
      <c r="C2234" s="30"/>
      <c r="D2234" s="31"/>
      <c r="E2234" s="35"/>
      <c r="F2234" s="129"/>
    </row>
    <row r="2235" spans="2:6" s="7" customFormat="1" ht="13.5">
      <c r="B2235" s="30"/>
      <c r="C2235" s="30"/>
      <c r="D2235" s="31"/>
      <c r="E2235" s="35"/>
      <c r="F2235" s="129"/>
    </row>
    <row r="2236" spans="2:6" s="7" customFormat="1" ht="13.5">
      <c r="B2236" s="30"/>
      <c r="C2236" s="30"/>
      <c r="D2236" s="31"/>
      <c r="E2236" s="35"/>
      <c r="F2236" s="129"/>
    </row>
    <row r="2237" spans="2:6" s="7" customFormat="1" ht="13.5">
      <c r="B2237" s="30"/>
      <c r="C2237" s="30"/>
      <c r="D2237" s="31"/>
      <c r="E2237" s="35"/>
      <c r="F2237" s="129"/>
    </row>
    <row r="2238" spans="2:6" s="7" customFormat="1" ht="13.5">
      <c r="B2238" s="30"/>
      <c r="C2238" s="30"/>
      <c r="D2238" s="31"/>
      <c r="E2238" s="35"/>
      <c r="F2238" s="129"/>
    </row>
    <row r="2239" spans="2:6" s="7" customFormat="1" ht="13.5">
      <c r="B2239" s="30"/>
      <c r="C2239" s="30"/>
      <c r="D2239" s="31"/>
      <c r="E2239" s="35"/>
      <c r="F2239" s="129"/>
    </row>
    <row r="2240" spans="2:6" s="7" customFormat="1" ht="13.5">
      <c r="B2240" s="30"/>
      <c r="C2240" s="30"/>
      <c r="D2240" s="31"/>
      <c r="E2240" s="35"/>
      <c r="F2240" s="129"/>
    </row>
    <row r="2241" spans="2:6" s="7" customFormat="1" ht="13.5">
      <c r="B2241" s="30"/>
      <c r="C2241" s="30"/>
      <c r="D2241" s="31"/>
      <c r="E2241" s="35"/>
      <c r="F2241" s="129"/>
    </row>
    <row r="2242" spans="2:6" s="7" customFormat="1" ht="13.5">
      <c r="B2242" s="30"/>
      <c r="C2242" s="30"/>
      <c r="D2242" s="31"/>
      <c r="E2242" s="35"/>
      <c r="F2242" s="129"/>
    </row>
    <row r="2243" spans="2:6" s="7" customFormat="1" ht="13.5">
      <c r="B2243" s="30"/>
      <c r="C2243" s="30"/>
      <c r="D2243" s="31"/>
      <c r="E2243" s="35"/>
      <c r="F2243" s="129"/>
    </row>
    <row r="2244" spans="2:6" s="7" customFormat="1" ht="13.5">
      <c r="B2244" s="30"/>
      <c r="C2244" s="30"/>
      <c r="D2244" s="31"/>
      <c r="E2244" s="35"/>
      <c r="F2244" s="129"/>
    </row>
    <row r="2245" spans="2:6" s="7" customFormat="1" ht="13.5">
      <c r="B2245" s="30"/>
      <c r="C2245" s="30"/>
      <c r="D2245" s="31"/>
      <c r="E2245" s="35"/>
      <c r="F2245" s="129"/>
    </row>
    <row r="2246" spans="2:6" s="7" customFormat="1" ht="13.5">
      <c r="B2246" s="30"/>
      <c r="C2246" s="30"/>
      <c r="D2246" s="31"/>
      <c r="E2246" s="35"/>
      <c r="F2246" s="129"/>
    </row>
    <row r="2247" spans="2:6" s="7" customFormat="1" ht="13.5">
      <c r="B2247" s="30"/>
      <c r="C2247" s="30"/>
      <c r="D2247" s="31"/>
      <c r="E2247" s="35"/>
      <c r="F2247" s="129"/>
    </row>
    <row r="2248" spans="2:6" s="7" customFormat="1" ht="13.5">
      <c r="B2248" s="30"/>
      <c r="C2248" s="30"/>
      <c r="D2248" s="31"/>
      <c r="E2248" s="35"/>
      <c r="F2248" s="129"/>
    </row>
    <row r="2249" spans="2:6" s="7" customFormat="1" ht="13.5">
      <c r="B2249" s="30"/>
      <c r="C2249" s="30"/>
      <c r="D2249" s="31"/>
      <c r="E2249" s="35"/>
      <c r="F2249" s="129"/>
    </row>
    <row r="2250" spans="2:6" s="7" customFormat="1" ht="13.5">
      <c r="B2250" s="30"/>
      <c r="C2250" s="30"/>
      <c r="D2250" s="31"/>
      <c r="E2250" s="35"/>
      <c r="F2250" s="129"/>
    </row>
    <row r="2251" spans="2:6" s="7" customFormat="1" ht="13.5">
      <c r="B2251" s="30"/>
      <c r="C2251" s="30"/>
      <c r="D2251" s="31"/>
      <c r="E2251" s="35"/>
      <c r="F2251" s="129"/>
    </row>
    <row r="2252" spans="2:6" s="7" customFormat="1" ht="13.5">
      <c r="B2252" s="30"/>
      <c r="C2252" s="30"/>
      <c r="D2252" s="31"/>
      <c r="E2252" s="35"/>
      <c r="F2252" s="129"/>
    </row>
    <row r="2253" spans="2:6" s="7" customFormat="1" ht="13.5">
      <c r="B2253" s="30"/>
      <c r="C2253" s="30"/>
      <c r="D2253" s="31"/>
      <c r="E2253" s="35"/>
      <c r="F2253" s="129"/>
    </row>
    <row r="2254" spans="2:6" s="7" customFormat="1" ht="13.5">
      <c r="B2254" s="30"/>
      <c r="C2254" s="30"/>
      <c r="D2254" s="31"/>
      <c r="E2254" s="35"/>
      <c r="F2254" s="129"/>
    </row>
    <row r="2255" spans="2:6" s="7" customFormat="1" ht="13.5">
      <c r="B2255" s="30"/>
      <c r="C2255" s="30"/>
      <c r="D2255" s="31"/>
      <c r="E2255" s="35"/>
      <c r="F2255" s="129"/>
    </row>
    <row r="2256" spans="2:6" s="7" customFormat="1" ht="13.5">
      <c r="B2256" s="30"/>
      <c r="C2256" s="30"/>
      <c r="D2256" s="31"/>
      <c r="E2256" s="35"/>
      <c r="F2256" s="129"/>
    </row>
    <row r="2257" spans="2:6" s="7" customFormat="1" ht="13.5">
      <c r="B2257" s="30"/>
      <c r="C2257" s="30"/>
      <c r="D2257" s="31"/>
      <c r="E2257" s="35"/>
      <c r="F2257" s="129"/>
    </row>
    <row r="2258" spans="2:6" s="7" customFormat="1" ht="13.5">
      <c r="B2258" s="30"/>
      <c r="C2258" s="30"/>
      <c r="D2258" s="31"/>
      <c r="E2258" s="35"/>
      <c r="F2258" s="129"/>
    </row>
    <row r="2259" spans="2:6" s="7" customFormat="1" ht="13.5">
      <c r="B2259" s="30"/>
      <c r="C2259" s="30"/>
      <c r="D2259" s="31"/>
      <c r="E2259" s="35"/>
      <c r="F2259" s="129"/>
    </row>
    <row r="2260" spans="2:6" s="7" customFormat="1" ht="13.5">
      <c r="B2260" s="30"/>
      <c r="C2260" s="30"/>
      <c r="D2260" s="31"/>
      <c r="E2260" s="35"/>
      <c r="F2260" s="129"/>
    </row>
    <row r="2261" spans="2:6" s="7" customFormat="1" ht="13.5">
      <c r="B2261" s="30"/>
      <c r="C2261" s="30"/>
      <c r="D2261" s="31"/>
      <c r="E2261" s="35"/>
      <c r="F2261" s="129"/>
    </row>
    <row r="2262" spans="2:6" s="7" customFormat="1" ht="13.5">
      <c r="B2262" s="30"/>
      <c r="C2262" s="30"/>
      <c r="D2262" s="31"/>
      <c r="E2262" s="35"/>
      <c r="F2262" s="129"/>
    </row>
    <row r="2263" spans="2:6" s="7" customFormat="1" ht="13.5">
      <c r="B2263" s="30"/>
      <c r="C2263" s="30"/>
      <c r="D2263" s="31"/>
      <c r="E2263" s="35"/>
      <c r="F2263" s="129"/>
    </row>
    <row r="2264" spans="2:6" s="7" customFormat="1" ht="13.5">
      <c r="B2264" s="30"/>
      <c r="C2264" s="30"/>
      <c r="D2264" s="31"/>
      <c r="E2264" s="35"/>
      <c r="F2264" s="129"/>
    </row>
    <row r="2265" spans="2:6" s="7" customFormat="1" ht="13.5">
      <c r="B2265" s="30"/>
      <c r="C2265" s="30"/>
      <c r="D2265" s="31"/>
      <c r="E2265" s="35"/>
      <c r="F2265" s="129"/>
    </row>
    <row r="2266" spans="2:6" s="7" customFormat="1" ht="13.5">
      <c r="B2266" s="30"/>
      <c r="C2266" s="30"/>
      <c r="D2266" s="31"/>
      <c r="E2266" s="35"/>
      <c r="F2266" s="129"/>
    </row>
    <row r="2267" spans="2:6" s="7" customFormat="1" ht="13.5">
      <c r="B2267" s="30"/>
      <c r="C2267" s="30"/>
      <c r="D2267" s="31"/>
      <c r="E2267" s="35"/>
      <c r="F2267" s="129"/>
    </row>
    <row r="2268" spans="2:6" s="7" customFormat="1" ht="13.5">
      <c r="B2268" s="30"/>
      <c r="C2268" s="30"/>
      <c r="D2268" s="31"/>
      <c r="E2268" s="35"/>
      <c r="F2268" s="129"/>
    </row>
    <row r="2269" spans="2:6" s="7" customFormat="1" ht="13.5">
      <c r="B2269" s="30"/>
      <c r="C2269" s="30"/>
      <c r="D2269" s="31"/>
      <c r="E2269" s="35"/>
      <c r="F2269" s="129"/>
    </row>
    <row r="2270" spans="2:6" s="7" customFormat="1" ht="13.5">
      <c r="B2270" s="30"/>
      <c r="C2270" s="30"/>
      <c r="D2270" s="31"/>
      <c r="E2270" s="35"/>
      <c r="F2270" s="129"/>
    </row>
    <row r="2271" spans="2:6" s="7" customFormat="1" ht="13.5">
      <c r="B2271" s="30"/>
      <c r="C2271" s="30"/>
      <c r="D2271" s="31"/>
      <c r="E2271" s="35"/>
      <c r="F2271" s="129"/>
    </row>
    <row r="2272" spans="2:6" s="7" customFormat="1" ht="13.5">
      <c r="B2272" s="30"/>
      <c r="C2272" s="30"/>
      <c r="D2272" s="31"/>
      <c r="E2272" s="35"/>
      <c r="F2272" s="129"/>
    </row>
    <row r="2273" spans="2:6" s="7" customFormat="1" ht="13.5">
      <c r="B2273" s="30"/>
      <c r="C2273" s="30"/>
      <c r="D2273" s="31"/>
      <c r="E2273" s="35"/>
      <c r="F2273" s="129"/>
    </row>
    <row r="2274" spans="2:6" s="7" customFormat="1" ht="13.5">
      <c r="B2274" s="30"/>
      <c r="C2274" s="30"/>
      <c r="D2274" s="31"/>
      <c r="E2274" s="35"/>
      <c r="F2274" s="129"/>
    </row>
    <row r="2275" spans="2:6" s="7" customFormat="1" ht="13.5">
      <c r="B2275" s="30"/>
      <c r="C2275" s="30"/>
      <c r="D2275" s="31"/>
      <c r="E2275" s="35"/>
      <c r="F2275" s="129"/>
    </row>
    <row r="2276" spans="2:6" s="7" customFormat="1" ht="13.5">
      <c r="B2276" s="30"/>
      <c r="C2276" s="30"/>
      <c r="D2276" s="31"/>
      <c r="E2276" s="35"/>
      <c r="F2276" s="129"/>
    </row>
    <row r="2277" spans="2:6" s="7" customFormat="1" ht="13.5">
      <c r="B2277" s="30"/>
      <c r="C2277" s="30"/>
      <c r="D2277" s="31"/>
      <c r="E2277" s="35"/>
      <c r="F2277" s="129"/>
    </row>
    <row r="2278" spans="2:6" s="7" customFormat="1" ht="13.5">
      <c r="B2278" s="30"/>
      <c r="C2278" s="30"/>
      <c r="D2278" s="31"/>
      <c r="E2278" s="35"/>
      <c r="F2278" s="129"/>
    </row>
    <row r="2279" spans="2:6" s="7" customFormat="1" ht="13.5">
      <c r="B2279" s="30"/>
      <c r="C2279" s="30"/>
      <c r="D2279" s="31"/>
      <c r="E2279" s="35"/>
      <c r="F2279" s="129"/>
    </row>
    <row r="2280" spans="2:6" s="7" customFormat="1" ht="13.5">
      <c r="B2280" s="30"/>
      <c r="C2280" s="30"/>
      <c r="D2280" s="31"/>
      <c r="E2280" s="35"/>
      <c r="F2280" s="129"/>
    </row>
    <row r="2281" spans="2:6" s="7" customFormat="1" ht="13.5">
      <c r="B2281" s="30"/>
      <c r="C2281" s="30"/>
      <c r="D2281" s="31"/>
      <c r="E2281" s="35"/>
      <c r="F2281" s="129"/>
    </row>
    <row r="2282" spans="2:6" s="7" customFormat="1" ht="13.5">
      <c r="B2282" s="30"/>
      <c r="C2282" s="30"/>
      <c r="D2282" s="31"/>
      <c r="E2282" s="35"/>
      <c r="F2282" s="129"/>
    </row>
    <row r="2283" spans="2:6" s="7" customFormat="1" ht="13.5">
      <c r="B2283" s="30"/>
      <c r="C2283" s="30"/>
      <c r="D2283" s="31"/>
      <c r="E2283" s="35"/>
      <c r="F2283" s="129"/>
    </row>
    <row r="2284" spans="2:6" s="7" customFormat="1" ht="13.5">
      <c r="B2284" s="30"/>
      <c r="C2284" s="30"/>
      <c r="D2284" s="31"/>
      <c r="E2284" s="35"/>
      <c r="F2284" s="129"/>
    </row>
    <row r="2285" spans="2:6" s="7" customFormat="1" ht="13.5">
      <c r="B2285" s="30"/>
      <c r="C2285" s="30"/>
      <c r="D2285" s="31"/>
      <c r="E2285" s="35"/>
      <c r="F2285" s="129"/>
    </row>
    <row r="2286" spans="2:6" s="7" customFormat="1" ht="13.5">
      <c r="B2286" s="30"/>
      <c r="C2286" s="30"/>
      <c r="D2286" s="31"/>
      <c r="E2286" s="35"/>
      <c r="F2286" s="129"/>
    </row>
    <row r="2287" spans="2:6" s="7" customFormat="1" ht="13.5">
      <c r="B2287" s="30"/>
      <c r="C2287" s="30"/>
      <c r="D2287" s="31"/>
      <c r="E2287" s="35"/>
      <c r="F2287" s="129"/>
    </row>
    <row r="2288" spans="2:6" s="7" customFormat="1" ht="13.5">
      <c r="B2288" s="30"/>
      <c r="C2288" s="30"/>
      <c r="D2288" s="31"/>
      <c r="E2288" s="35"/>
      <c r="F2288" s="129"/>
    </row>
    <row r="2289" spans="2:6" s="7" customFormat="1" ht="13.5">
      <c r="B2289" s="30"/>
      <c r="C2289" s="30"/>
      <c r="D2289" s="31"/>
      <c r="E2289" s="35"/>
      <c r="F2289" s="129"/>
    </row>
    <row r="2290" spans="2:6" s="7" customFormat="1" ht="13.5">
      <c r="B2290" s="30"/>
      <c r="C2290" s="30"/>
      <c r="D2290" s="31"/>
      <c r="E2290" s="35"/>
      <c r="F2290" s="129"/>
    </row>
    <row r="2291" spans="2:6" s="7" customFormat="1" ht="13.5">
      <c r="B2291" s="30"/>
      <c r="C2291" s="30"/>
      <c r="D2291" s="31"/>
      <c r="E2291" s="35"/>
      <c r="F2291" s="129"/>
    </row>
    <row r="2292" spans="2:6" s="7" customFormat="1" ht="13.5">
      <c r="B2292" s="30"/>
      <c r="C2292" s="30"/>
      <c r="D2292" s="31"/>
      <c r="E2292" s="35"/>
      <c r="F2292" s="129"/>
    </row>
    <row r="2293" spans="2:6" s="7" customFormat="1" ht="13.5">
      <c r="B2293" s="30"/>
      <c r="C2293" s="30"/>
      <c r="D2293" s="31"/>
      <c r="E2293" s="35"/>
      <c r="F2293" s="129"/>
    </row>
    <row r="2294" spans="2:6" s="7" customFormat="1" ht="13.5">
      <c r="B2294" s="30"/>
      <c r="C2294" s="30"/>
      <c r="D2294" s="31"/>
      <c r="E2294" s="35"/>
      <c r="F2294" s="129"/>
    </row>
    <row r="2295" spans="2:6" s="7" customFormat="1" ht="13.5">
      <c r="B2295" s="30"/>
      <c r="C2295" s="30"/>
      <c r="D2295" s="31"/>
      <c r="E2295" s="35"/>
      <c r="F2295" s="129"/>
    </row>
    <row r="2296" spans="2:6" s="7" customFormat="1" ht="13.5">
      <c r="B2296" s="30"/>
      <c r="C2296" s="30"/>
      <c r="D2296" s="31"/>
      <c r="E2296" s="35"/>
      <c r="F2296" s="129"/>
    </row>
    <row r="2297" spans="2:6" s="7" customFormat="1" ht="13.5">
      <c r="B2297" s="30"/>
      <c r="C2297" s="30"/>
      <c r="D2297" s="31"/>
      <c r="E2297" s="35"/>
      <c r="F2297" s="129"/>
    </row>
    <row r="2298" spans="2:6" s="7" customFormat="1" ht="13.5">
      <c r="B2298" s="30"/>
      <c r="C2298" s="30"/>
      <c r="D2298" s="31"/>
      <c r="E2298" s="35"/>
      <c r="F2298" s="129"/>
    </row>
    <row r="2299" spans="2:6" s="7" customFormat="1" ht="13.5">
      <c r="B2299" s="30"/>
      <c r="C2299" s="30"/>
      <c r="D2299" s="31"/>
      <c r="E2299" s="35"/>
      <c r="F2299" s="129"/>
    </row>
    <row r="2300" spans="2:6" s="7" customFormat="1" ht="13.5">
      <c r="B2300" s="30"/>
      <c r="C2300" s="30"/>
      <c r="D2300" s="31"/>
      <c r="E2300" s="35"/>
      <c r="F2300" s="129"/>
    </row>
    <row r="2301" spans="2:6" s="7" customFormat="1" ht="13.5">
      <c r="B2301" s="30"/>
      <c r="C2301" s="30"/>
      <c r="D2301" s="31"/>
      <c r="E2301" s="35"/>
      <c r="F2301" s="129"/>
    </row>
    <row r="2302" spans="2:6" s="7" customFormat="1" ht="13.5">
      <c r="B2302" s="30"/>
      <c r="C2302" s="30"/>
      <c r="D2302" s="31"/>
      <c r="E2302" s="35"/>
      <c r="F2302" s="129"/>
    </row>
    <row r="2303" spans="2:6" s="7" customFormat="1" ht="13.5">
      <c r="B2303" s="30"/>
      <c r="C2303" s="30"/>
      <c r="D2303" s="31"/>
      <c r="E2303" s="35"/>
      <c r="F2303" s="129"/>
    </row>
    <row r="2304" spans="2:6" s="7" customFormat="1" ht="13.5">
      <c r="B2304" s="30"/>
      <c r="C2304" s="30"/>
      <c r="D2304" s="31"/>
      <c r="E2304" s="35"/>
      <c r="F2304" s="129"/>
    </row>
    <row r="2305" spans="2:6" s="7" customFormat="1" ht="13.5">
      <c r="B2305" s="30"/>
      <c r="C2305" s="30"/>
      <c r="D2305" s="31"/>
      <c r="E2305" s="35"/>
      <c r="F2305" s="129"/>
    </row>
    <row r="2306" spans="2:6" s="7" customFormat="1" ht="13.5">
      <c r="B2306" s="30"/>
      <c r="C2306" s="30"/>
      <c r="D2306" s="31"/>
      <c r="E2306" s="35"/>
      <c r="F2306" s="129"/>
    </row>
    <row r="2307" spans="2:6" s="7" customFormat="1" ht="13.5">
      <c r="B2307" s="30"/>
      <c r="C2307" s="30"/>
      <c r="D2307" s="31"/>
      <c r="E2307" s="35"/>
      <c r="F2307" s="129"/>
    </row>
    <row r="2308" spans="2:6" s="7" customFormat="1" ht="13.5">
      <c r="B2308" s="30"/>
      <c r="C2308" s="30"/>
      <c r="D2308" s="31"/>
      <c r="E2308" s="35"/>
      <c r="F2308" s="129"/>
    </row>
    <row r="2309" spans="2:6" s="7" customFormat="1" ht="13.5">
      <c r="B2309" s="30"/>
      <c r="C2309" s="30"/>
      <c r="D2309" s="31"/>
      <c r="E2309" s="35"/>
      <c r="F2309" s="129"/>
    </row>
    <row r="2310" spans="2:6" s="7" customFormat="1" ht="13.5">
      <c r="B2310" s="30"/>
      <c r="C2310" s="30"/>
      <c r="D2310" s="31"/>
      <c r="E2310" s="35"/>
      <c r="F2310" s="129"/>
    </row>
    <row r="2311" spans="2:6" s="7" customFormat="1" ht="13.5">
      <c r="B2311" s="30"/>
      <c r="C2311" s="30"/>
      <c r="D2311" s="31"/>
      <c r="E2311" s="35"/>
      <c r="F2311" s="129"/>
    </row>
    <row r="2312" spans="2:6" s="7" customFormat="1" ht="13.5">
      <c r="B2312" s="30"/>
      <c r="C2312" s="30"/>
      <c r="D2312" s="31"/>
      <c r="E2312" s="35"/>
      <c r="F2312" s="129"/>
    </row>
    <row r="2313" spans="2:6" s="7" customFormat="1" ht="13.5">
      <c r="B2313" s="30"/>
      <c r="C2313" s="30"/>
      <c r="D2313" s="31"/>
      <c r="E2313" s="35"/>
      <c r="F2313" s="129"/>
    </row>
    <row r="2314" spans="2:6" s="7" customFormat="1" ht="13.5">
      <c r="B2314" s="30"/>
      <c r="C2314" s="30"/>
      <c r="D2314" s="31"/>
      <c r="E2314" s="35"/>
      <c r="F2314" s="129"/>
    </row>
    <row r="2315" spans="2:6" s="7" customFormat="1" ht="13.5">
      <c r="B2315" s="30"/>
      <c r="C2315" s="30"/>
      <c r="D2315" s="31"/>
      <c r="E2315" s="35"/>
      <c r="F2315" s="129"/>
    </row>
    <row r="2316" spans="2:6" s="7" customFormat="1" ht="13.5">
      <c r="B2316" s="30"/>
      <c r="C2316" s="30"/>
      <c r="D2316" s="31"/>
      <c r="E2316" s="35"/>
      <c r="F2316" s="129"/>
    </row>
    <row r="2317" spans="2:6" s="7" customFormat="1" ht="13.5">
      <c r="B2317" s="30"/>
      <c r="C2317" s="30"/>
      <c r="D2317" s="31"/>
      <c r="E2317" s="35"/>
      <c r="F2317" s="129"/>
    </row>
    <row r="2318" spans="2:6" s="7" customFormat="1" ht="13.5">
      <c r="B2318" s="30"/>
      <c r="C2318" s="30"/>
      <c r="D2318" s="31"/>
      <c r="E2318" s="35"/>
      <c r="F2318" s="129"/>
    </row>
    <row r="2319" spans="2:6" s="7" customFormat="1" ht="13.5">
      <c r="B2319" s="30"/>
      <c r="C2319" s="30"/>
      <c r="D2319" s="31"/>
      <c r="E2319" s="35"/>
      <c r="F2319" s="129"/>
    </row>
    <row r="2320" spans="2:6" s="7" customFormat="1" ht="13.5">
      <c r="B2320" s="30"/>
      <c r="C2320" s="30"/>
      <c r="D2320" s="31"/>
      <c r="E2320" s="35"/>
      <c r="F2320" s="129"/>
    </row>
    <row r="2321" spans="2:6" s="7" customFormat="1" ht="13.5">
      <c r="B2321" s="30"/>
      <c r="C2321" s="30"/>
      <c r="D2321" s="31"/>
      <c r="E2321" s="35"/>
      <c r="F2321" s="129"/>
    </row>
    <row r="2322" spans="2:6" s="7" customFormat="1" ht="13.5">
      <c r="B2322" s="30"/>
      <c r="C2322" s="30"/>
      <c r="D2322" s="31"/>
      <c r="E2322" s="35"/>
      <c r="F2322" s="129"/>
    </row>
    <row r="2323" spans="2:6" s="7" customFormat="1" ht="13.5">
      <c r="B2323" s="30"/>
      <c r="C2323" s="30"/>
      <c r="D2323" s="31"/>
      <c r="E2323" s="35"/>
      <c r="F2323" s="129"/>
    </row>
    <row r="2324" spans="2:6" s="7" customFormat="1" ht="13.5">
      <c r="B2324" s="30"/>
      <c r="C2324" s="30"/>
      <c r="D2324" s="31"/>
      <c r="E2324" s="35"/>
      <c r="F2324" s="129"/>
    </row>
    <row r="2325" spans="2:6" s="7" customFormat="1" ht="13.5">
      <c r="B2325" s="30"/>
      <c r="C2325" s="30"/>
      <c r="D2325" s="31"/>
      <c r="E2325" s="35"/>
      <c r="F2325" s="129"/>
    </row>
    <row r="2326" spans="2:6" s="7" customFormat="1" ht="13.5">
      <c r="B2326" s="30"/>
      <c r="C2326" s="30"/>
      <c r="D2326" s="31"/>
      <c r="E2326" s="35"/>
      <c r="F2326" s="129"/>
    </row>
    <row r="2327" spans="2:6" s="7" customFormat="1" ht="13.5">
      <c r="B2327" s="30"/>
      <c r="C2327" s="30"/>
      <c r="D2327" s="31"/>
      <c r="E2327" s="35"/>
      <c r="F2327" s="129"/>
    </row>
    <row r="2328" spans="2:6" s="7" customFormat="1" ht="13.5">
      <c r="B2328" s="30"/>
      <c r="C2328" s="30"/>
      <c r="D2328" s="31"/>
      <c r="E2328" s="35"/>
      <c r="F2328" s="129"/>
    </row>
    <row r="2329" spans="2:6" s="7" customFormat="1" ht="13.5">
      <c r="B2329" s="30"/>
      <c r="C2329" s="30"/>
      <c r="D2329" s="31"/>
      <c r="E2329" s="35"/>
      <c r="F2329" s="129"/>
    </row>
    <row r="2330" spans="2:6" s="7" customFormat="1" ht="13.5">
      <c r="B2330" s="30"/>
      <c r="C2330" s="30"/>
      <c r="D2330" s="31"/>
      <c r="E2330" s="35"/>
      <c r="F2330" s="129"/>
    </row>
    <row r="2331" spans="2:6" s="7" customFormat="1" ht="13.5">
      <c r="B2331" s="30"/>
      <c r="C2331" s="30"/>
      <c r="D2331" s="31"/>
      <c r="E2331" s="35"/>
      <c r="F2331" s="129"/>
    </row>
    <row r="2332" spans="2:6" s="7" customFormat="1" ht="13.5">
      <c r="B2332" s="30"/>
      <c r="C2332" s="30"/>
      <c r="D2332" s="31"/>
      <c r="E2332" s="35"/>
      <c r="F2332" s="129"/>
    </row>
    <row r="2333" spans="2:6" s="7" customFormat="1" ht="13.5">
      <c r="B2333" s="30"/>
      <c r="C2333" s="30"/>
      <c r="D2333" s="31"/>
      <c r="E2333" s="35"/>
      <c r="F2333" s="129"/>
    </row>
    <row r="2334" spans="2:6" s="7" customFormat="1" ht="13.5">
      <c r="B2334" s="30"/>
      <c r="C2334" s="30"/>
      <c r="D2334" s="31"/>
      <c r="E2334" s="35"/>
      <c r="F2334" s="129"/>
    </row>
    <row r="2335" spans="2:6" s="7" customFormat="1" ht="13.5">
      <c r="B2335" s="30"/>
      <c r="C2335" s="30"/>
      <c r="D2335" s="31"/>
      <c r="E2335" s="35"/>
      <c r="F2335" s="129"/>
    </row>
    <row r="2336" spans="2:6" s="7" customFormat="1" ht="13.5">
      <c r="B2336" s="30"/>
      <c r="C2336" s="30"/>
      <c r="D2336" s="31"/>
      <c r="E2336" s="35"/>
      <c r="F2336" s="129"/>
    </row>
    <row r="2337" spans="2:6" s="7" customFormat="1" ht="13.5">
      <c r="B2337" s="30"/>
      <c r="C2337" s="30"/>
      <c r="D2337" s="31"/>
      <c r="E2337" s="35"/>
      <c r="F2337" s="129"/>
    </row>
    <row r="2338" spans="2:6" s="7" customFormat="1" ht="13.5">
      <c r="B2338" s="30"/>
      <c r="C2338" s="30"/>
      <c r="D2338" s="31"/>
      <c r="E2338" s="35"/>
      <c r="F2338" s="129"/>
    </row>
    <row r="2339" spans="2:6" s="7" customFormat="1" ht="13.5">
      <c r="B2339" s="30"/>
      <c r="C2339" s="30"/>
      <c r="D2339" s="31"/>
      <c r="E2339" s="35"/>
      <c r="F2339" s="129"/>
    </row>
    <row r="2340" spans="2:6" s="7" customFormat="1" ht="13.5">
      <c r="B2340" s="30"/>
      <c r="C2340" s="30"/>
      <c r="D2340" s="31"/>
      <c r="E2340" s="35"/>
      <c r="F2340" s="129"/>
    </row>
    <row r="2341" spans="2:6" s="7" customFormat="1" ht="13.5">
      <c r="B2341" s="30"/>
      <c r="C2341" s="30"/>
      <c r="D2341" s="31"/>
      <c r="E2341" s="35"/>
      <c r="F2341" s="129"/>
    </row>
    <row r="2342" spans="2:6" s="7" customFormat="1" ht="13.5">
      <c r="B2342" s="30"/>
      <c r="C2342" s="30"/>
      <c r="D2342" s="31"/>
      <c r="E2342" s="35"/>
      <c r="F2342" s="129"/>
    </row>
    <row r="2343" spans="2:6" s="7" customFormat="1" ht="13.5">
      <c r="B2343" s="30"/>
      <c r="C2343" s="30"/>
      <c r="D2343" s="31"/>
      <c r="E2343" s="35"/>
      <c r="F2343" s="129"/>
    </row>
    <row r="2344" spans="2:6" s="7" customFormat="1" ht="13.5">
      <c r="B2344" s="30"/>
      <c r="C2344" s="30"/>
      <c r="D2344" s="31"/>
      <c r="E2344" s="35"/>
      <c r="F2344" s="129"/>
    </row>
    <row r="2345" spans="2:6" s="7" customFormat="1" ht="13.5">
      <c r="B2345" s="30"/>
      <c r="C2345" s="30"/>
      <c r="D2345" s="31"/>
      <c r="E2345" s="35"/>
      <c r="F2345" s="129"/>
    </row>
    <row r="2346" spans="2:6" s="7" customFormat="1" ht="13.5">
      <c r="B2346" s="30"/>
      <c r="C2346" s="30"/>
      <c r="D2346" s="31"/>
      <c r="E2346" s="35"/>
      <c r="F2346" s="129"/>
    </row>
    <row r="2347" spans="2:6" s="7" customFormat="1" ht="13.5">
      <c r="B2347" s="30"/>
      <c r="C2347" s="30"/>
      <c r="D2347" s="31"/>
      <c r="E2347" s="35"/>
      <c r="F2347" s="129"/>
    </row>
    <row r="2348" spans="2:6" s="7" customFormat="1" ht="13.5">
      <c r="B2348" s="30"/>
      <c r="C2348" s="30"/>
      <c r="D2348" s="31"/>
      <c r="E2348" s="35"/>
      <c r="F2348" s="129"/>
    </row>
    <row r="2349" spans="2:6" s="7" customFormat="1" ht="13.5">
      <c r="B2349" s="30"/>
      <c r="C2349" s="30"/>
      <c r="D2349" s="31"/>
      <c r="E2349" s="35"/>
      <c r="F2349" s="129"/>
    </row>
    <row r="2350" spans="2:6" s="7" customFormat="1" ht="13.5">
      <c r="B2350" s="30"/>
      <c r="C2350" s="30"/>
      <c r="D2350" s="31"/>
      <c r="E2350" s="35"/>
      <c r="F2350" s="129"/>
    </row>
    <row r="2351" spans="2:6" s="7" customFormat="1" ht="13.5">
      <c r="B2351" s="30"/>
      <c r="C2351" s="30"/>
      <c r="D2351" s="31"/>
      <c r="E2351" s="35"/>
      <c r="F2351" s="129"/>
    </row>
    <row r="2352" spans="2:6" s="7" customFormat="1" ht="13.5">
      <c r="B2352" s="30"/>
      <c r="C2352" s="30"/>
      <c r="D2352" s="31"/>
      <c r="E2352" s="35"/>
      <c r="F2352" s="129"/>
    </row>
    <row r="2353" spans="2:6" s="7" customFormat="1" ht="13.5">
      <c r="B2353" s="30"/>
      <c r="C2353" s="30"/>
      <c r="D2353" s="31"/>
      <c r="E2353" s="35"/>
      <c r="F2353" s="129"/>
    </row>
    <row r="2354" spans="2:6" s="7" customFormat="1" ht="13.5">
      <c r="B2354" s="30"/>
      <c r="C2354" s="30"/>
      <c r="D2354" s="31"/>
      <c r="E2354" s="35"/>
      <c r="F2354" s="129"/>
    </row>
    <row r="2355" spans="2:6" s="7" customFormat="1" ht="13.5">
      <c r="B2355" s="30"/>
      <c r="C2355" s="30"/>
      <c r="D2355" s="31"/>
      <c r="E2355" s="35"/>
      <c r="F2355" s="129"/>
    </row>
    <row r="2356" spans="2:6" s="7" customFormat="1" ht="13.5">
      <c r="B2356" s="30"/>
      <c r="C2356" s="30"/>
      <c r="D2356" s="31"/>
      <c r="E2356" s="35"/>
      <c r="F2356" s="129"/>
    </row>
    <row r="2357" spans="2:6" s="7" customFormat="1" ht="13.5">
      <c r="B2357" s="30"/>
      <c r="C2357" s="30"/>
      <c r="D2357" s="31"/>
      <c r="E2357" s="35"/>
      <c r="F2357" s="129"/>
    </row>
    <row r="2358" spans="2:6" s="7" customFormat="1" ht="13.5">
      <c r="B2358" s="30"/>
      <c r="C2358" s="30"/>
      <c r="D2358" s="31"/>
      <c r="E2358" s="35"/>
      <c r="F2358" s="129"/>
    </row>
    <row r="2359" spans="2:6" s="7" customFormat="1" ht="13.5">
      <c r="B2359" s="30"/>
      <c r="C2359" s="30"/>
      <c r="D2359" s="31"/>
      <c r="E2359" s="35"/>
      <c r="F2359" s="129"/>
    </row>
    <row r="2360" spans="2:6" s="7" customFormat="1" ht="13.5">
      <c r="B2360" s="30"/>
      <c r="C2360" s="30"/>
      <c r="D2360" s="31"/>
      <c r="E2360" s="35"/>
      <c r="F2360" s="129"/>
    </row>
    <row r="2361" spans="2:6" s="7" customFormat="1" ht="13.5">
      <c r="B2361" s="30"/>
      <c r="C2361" s="30"/>
      <c r="D2361" s="31"/>
      <c r="E2361" s="35"/>
      <c r="F2361" s="129"/>
    </row>
    <row r="2362" spans="2:6" s="7" customFormat="1" ht="13.5">
      <c r="B2362" s="30"/>
      <c r="C2362" s="30"/>
      <c r="D2362" s="31"/>
      <c r="E2362" s="35"/>
      <c r="F2362" s="129"/>
    </row>
    <row r="2363" spans="2:6" s="7" customFormat="1" ht="13.5">
      <c r="B2363" s="30"/>
      <c r="C2363" s="30"/>
      <c r="D2363" s="31"/>
      <c r="E2363" s="35"/>
      <c r="F2363" s="129"/>
    </row>
    <row r="2364" spans="2:6" s="7" customFormat="1" ht="13.5">
      <c r="B2364" s="30"/>
      <c r="C2364" s="30"/>
      <c r="D2364" s="31"/>
      <c r="E2364" s="35"/>
      <c r="F2364" s="129"/>
    </row>
    <row r="2365" spans="2:6" s="7" customFormat="1" ht="13.5">
      <c r="B2365" s="30"/>
      <c r="C2365" s="30"/>
      <c r="D2365" s="31"/>
      <c r="E2365" s="35"/>
      <c r="F2365" s="129"/>
    </row>
    <row r="2366" spans="2:6" s="7" customFormat="1" ht="13.5">
      <c r="B2366" s="30"/>
      <c r="C2366" s="30"/>
      <c r="D2366" s="31"/>
      <c r="E2366" s="35"/>
      <c r="F2366" s="129"/>
    </row>
    <row r="2367" spans="2:6" s="7" customFormat="1" ht="13.5">
      <c r="B2367" s="30"/>
      <c r="C2367" s="30"/>
      <c r="D2367" s="31"/>
      <c r="E2367" s="35"/>
      <c r="F2367" s="129"/>
    </row>
    <row r="2368" spans="2:6" s="7" customFormat="1" ht="13.5">
      <c r="B2368" s="30"/>
      <c r="C2368" s="30"/>
      <c r="D2368" s="31"/>
      <c r="E2368" s="35"/>
      <c r="F2368" s="129"/>
    </row>
    <row r="2369" spans="2:6" s="7" customFormat="1" ht="13.5">
      <c r="B2369" s="30"/>
      <c r="C2369" s="30"/>
      <c r="D2369" s="31"/>
      <c r="E2369" s="35"/>
      <c r="F2369" s="129"/>
    </row>
    <row r="2370" spans="2:6" s="7" customFormat="1" ht="13.5">
      <c r="B2370" s="30"/>
      <c r="C2370" s="30"/>
      <c r="D2370" s="31"/>
      <c r="E2370" s="35"/>
      <c r="F2370" s="129"/>
    </row>
    <row r="2371" spans="2:6" s="7" customFormat="1" ht="13.5">
      <c r="B2371" s="30"/>
      <c r="C2371" s="30"/>
      <c r="D2371" s="31"/>
      <c r="E2371" s="35"/>
      <c r="F2371" s="129"/>
    </row>
    <row r="2372" spans="2:6" s="7" customFormat="1" ht="13.5">
      <c r="B2372" s="30"/>
      <c r="C2372" s="30"/>
      <c r="D2372" s="31"/>
      <c r="E2372" s="35"/>
      <c r="F2372" s="129"/>
    </row>
    <row r="2373" spans="2:6" s="7" customFormat="1" ht="13.5">
      <c r="B2373" s="30"/>
      <c r="C2373" s="30"/>
      <c r="D2373" s="31"/>
      <c r="E2373" s="35"/>
      <c r="F2373" s="129"/>
    </row>
    <row r="2374" spans="2:6" s="7" customFormat="1" ht="13.5">
      <c r="B2374" s="30"/>
      <c r="C2374" s="30"/>
      <c r="D2374" s="31"/>
      <c r="E2374" s="35"/>
      <c r="F2374" s="129"/>
    </row>
    <row r="2375" spans="2:6" s="7" customFormat="1" ht="13.5">
      <c r="B2375" s="30"/>
      <c r="C2375" s="30"/>
      <c r="D2375" s="31"/>
      <c r="E2375" s="35"/>
      <c r="F2375" s="129"/>
    </row>
    <row r="2376" spans="2:6" s="7" customFormat="1" ht="13.5">
      <c r="B2376" s="30"/>
      <c r="C2376" s="30"/>
      <c r="D2376" s="31"/>
      <c r="E2376" s="35"/>
      <c r="F2376" s="129"/>
    </row>
    <row r="2377" spans="2:6" s="7" customFormat="1" ht="13.5">
      <c r="B2377" s="30"/>
      <c r="C2377" s="30"/>
      <c r="D2377" s="31"/>
      <c r="E2377" s="35"/>
      <c r="F2377" s="129"/>
    </row>
    <row r="2378" spans="2:6" s="7" customFormat="1" ht="13.5">
      <c r="B2378" s="30"/>
      <c r="C2378" s="30"/>
      <c r="D2378" s="31"/>
      <c r="E2378" s="35"/>
      <c r="F2378" s="129"/>
    </row>
    <row r="2379" spans="2:6" s="7" customFormat="1" ht="13.5">
      <c r="B2379" s="30"/>
      <c r="C2379" s="30"/>
      <c r="D2379" s="31"/>
      <c r="E2379" s="35"/>
      <c r="F2379" s="129"/>
    </row>
    <row r="2380" spans="2:6" s="7" customFormat="1" ht="13.5">
      <c r="B2380" s="30"/>
      <c r="C2380" s="30"/>
      <c r="D2380" s="31"/>
      <c r="E2380" s="35"/>
      <c r="F2380" s="129"/>
    </row>
    <row r="2381" spans="2:6" s="7" customFormat="1" ht="13.5">
      <c r="B2381" s="30"/>
      <c r="C2381" s="30"/>
      <c r="D2381" s="31"/>
      <c r="E2381" s="35"/>
      <c r="F2381" s="129"/>
    </row>
    <row r="2382" spans="2:6" s="7" customFormat="1" ht="13.5">
      <c r="B2382" s="30"/>
      <c r="C2382" s="30"/>
      <c r="D2382" s="31"/>
      <c r="E2382" s="35"/>
      <c r="F2382" s="129"/>
    </row>
    <row r="2383" spans="2:6" s="7" customFormat="1" ht="13.5">
      <c r="B2383" s="30"/>
      <c r="C2383" s="30"/>
      <c r="D2383" s="31"/>
      <c r="E2383" s="35"/>
      <c r="F2383" s="129"/>
    </row>
    <row r="2384" spans="2:6" s="7" customFormat="1" ht="13.5">
      <c r="B2384" s="30"/>
      <c r="C2384" s="30"/>
      <c r="D2384" s="31"/>
      <c r="E2384" s="35"/>
      <c r="F2384" s="129"/>
    </row>
    <row r="2385" spans="2:6" s="7" customFormat="1" ht="13.5">
      <c r="B2385" s="30"/>
      <c r="C2385" s="30"/>
      <c r="D2385" s="31"/>
      <c r="E2385" s="35"/>
      <c r="F2385" s="129"/>
    </row>
    <row r="2386" spans="2:6" s="7" customFormat="1" ht="13.5">
      <c r="B2386" s="30"/>
      <c r="C2386" s="30"/>
      <c r="D2386" s="31"/>
      <c r="E2386" s="35"/>
      <c r="F2386" s="129"/>
    </row>
    <row r="2387" spans="2:6" s="7" customFormat="1" ht="13.5">
      <c r="B2387" s="30"/>
      <c r="C2387" s="30"/>
      <c r="D2387" s="31"/>
      <c r="E2387" s="35"/>
      <c r="F2387" s="129"/>
    </row>
    <row r="2388" spans="2:6" s="7" customFormat="1" ht="13.5">
      <c r="B2388" s="30"/>
      <c r="C2388" s="30"/>
      <c r="D2388" s="31"/>
      <c r="E2388" s="35"/>
      <c r="F2388" s="129"/>
    </row>
    <row r="2389" spans="2:6" s="7" customFormat="1" ht="13.5">
      <c r="B2389" s="30"/>
      <c r="C2389" s="30"/>
      <c r="D2389" s="31"/>
      <c r="E2389" s="35"/>
      <c r="F2389" s="129"/>
    </row>
    <row r="2390" spans="2:6" s="7" customFormat="1" ht="13.5">
      <c r="B2390" s="30"/>
      <c r="C2390" s="30"/>
      <c r="D2390" s="31"/>
      <c r="E2390" s="35"/>
      <c r="F2390" s="129"/>
    </row>
    <row r="2391" spans="2:6" s="7" customFormat="1" ht="13.5">
      <c r="B2391" s="30"/>
      <c r="C2391" s="30"/>
      <c r="D2391" s="31"/>
      <c r="E2391" s="35"/>
      <c r="F2391" s="129"/>
    </row>
    <row r="2392" spans="2:6" s="7" customFormat="1" ht="13.5">
      <c r="B2392" s="30"/>
      <c r="C2392" s="30"/>
      <c r="D2392" s="31"/>
      <c r="E2392" s="35"/>
      <c r="F2392" s="129"/>
    </row>
    <row r="2393" spans="2:6" s="7" customFormat="1" ht="13.5">
      <c r="B2393" s="30"/>
      <c r="C2393" s="30"/>
      <c r="D2393" s="31"/>
      <c r="E2393" s="35"/>
      <c r="F2393" s="129"/>
    </row>
    <row r="2394" spans="2:6" s="7" customFormat="1" ht="13.5">
      <c r="B2394" s="30"/>
      <c r="C2394" s="30"/>
      <c r="D2394" s="31"/>
      <c r="E2394" s="35"/>
      <c r="F2394" s="129"/>
    </row>
    <row r="2395" spans="2:6" s="7" customFormat="1" ht="13.5">
      <c r="B2395" s="30"/>
      <c r="C2395" s="30"/>
      <c r="D2395" s="31"/>
      <c r="E2395" s="35"/>
      <c r="F2395" s="129"/>
    </row>
    <row r="2396" spans="2:6" s="7" customFormat="1" ht="13.5">
      <c r="B2396" s="30"/>
      <c r="C2396" s="30"/>
      <c r="D2396" s="31"/>
      <c r="E2396" s="35"/>
      <c r="F2396" s="129"/>
    </row>
    <row r="2397" spans="2:6" s="7" customFormat="1" ht="13.5">
      <c r="B2397" s="30"/>
      <c r="C2397" s="30"/>
      <c r="D2397" s="31"/>
      <c r="E2397" s="35"/>
      <c r="F2397" s="129"/>
    </row>
    <row r="2398" spans="2:6" s="7" customFormat="1" ht="13.5">
      <c r="B2398" s="30"/>
      <c r="C2398" s="30"/>
      <c r="D2398" s="31"/>
      <c r="E2398" s="35"/>
      <c r="F2398" s="129"/>
    </row>
    <row r="2399" spans="2:6" s="7" customFormat="1" ht="13.5">
      <c r="B2399" s="30"/>
      <c r="C2399" s="30"/>
      <c r="D2399" s="31"/>
      <c r="E2399" s="35"/>
      <c r="F2399" s="129"/>
    </row>
    <row r="2400" spans="2:6" s="7" customFormat="1" ht="13.5">
      <c r="B2400" s="30"/>
      <c r="C2400" s="30"/>
      <c r="D2400" s="31"/>
      <c r="E2400" s="35"/>
      <c r="F2400" s="129"/>
    </row>
    <row r="2401" spans="2:6" s="7" customFormat="1" ht="13.5">
      <c r="B2401" s="30"/>
      <c r="C2401" s="30"/>
      <c r="D2401" s="31"/>
      <c r="E2401" s="35"/>
      <c r="F2401" s="129"/>
    </row>
    <row r="2402" spans="2:6" s="7" customFormat="1" ht="13.5">
      <c r="B2402" s="30"/>
      <c r="C2402" s="30"/>
      <c r="D2402" s="31"/>
      <c r="E2402" s="35"/>
      <c r="F2402" s="129"/>
    </row>
    <row r="2403" spans="2:6" s="7" customFormat="1" ht="13.5">
      <c r="B2403" s="30"/>
      <c r="C2403" s="30"/>
      <c r="D2403" s="31"/>
      <c r="E2403" s="35"/>
      <c r="F2403" s="129"/>
    </row>
    <row r="2404" spans="2:6" s="7" customFormat="1" ht="13.5">
      <c r="B2404" s="30"/>
      <c r="C2404" s="30"/>
      <c r="D2404" s="31"/>
      <c r="E2404" s="35"/>
      <c r="F2404" s="129"/>
    </row>
    <row r="2405" spans="2:6" s="7" customFormat="1" ht="13.5">
      <c r="B2405" s="30"/>
      <c r="C2405" s="30"/>
      <c r="D2405" s="31"/>
      <c r="E2405" s="35"/>
      <c r="F2405" s="129"/>
    </row>
    <row r="2406" spans="2:6" s="7" customFormat="1" ht="13.5">
      <c r="B2406" s="30"/>
      <c r="C2406" s="30"/>
      <c r="D2406" s="31"/>
      <c r="E2406" s="35"/>
      <c r="F2406" s="129"/>
    </row>
    <row r="2407" spans="2:6" s="7" customFormat="1" ht="13.5">
      <c r="B2407" s="30"/>
      <c r="C2407" s="30"/>
      <c r="D2407" s="31"/>
      <c r="E2407" s="35"/>
      <c r="F2407" s="129"/>
    </row>
    <row r="2408" spans="2:6" s="7" customFormat="1" ht="13.5">
      <c r="B2408" s="30"/>
      <c r="C2408" s="30"/>
      <c r="D2408" s="31"/>
      <c r="E2408" s="35"/>
      <c r="F2408" s="129"/>
    </row>
    <row r="2409" spans="2:6" s="7" customFormat="1" ht="13.5">
      <c r="B2409" s="30"/>
      <c r="C2409" s="30"/>
      <c r="D2409" s="31"/>
      <c r="E2409" s="35"/>
      <c r="F2409" s="129"/>
    </row>
    <row r="2410" spans="2:6" s="7" customFormat="1" ht="13.5">
      <c r="B2410" s="30"/>
      <c r="C2410" s="30"/>
      <c r="D2410" s="31"/>
      <c r="E2410" s="35"/>
      <c r="F2410" s="129"/>
    </row>
    <row r="2411" spans="2:6" s="7" customFormat="1" ht="13.5">
      <c r="B2411" s="30"/>
      <c r="C2411" s="30"/>
      <c r="D2411" s="31"/>
      <c r="E2411" s="35"/>
      <c r="F2411" s="129"/>
    </row>
    <row r="2412" spans="2:6" s="7" customFormat="1" ht="13.5">
      <c r="B2412" s="30"/>
      <c r="C2412" s="30"/>
      <c r="D2412" s="31"/>
      <c r="E2412" s="35"/>
      <c r="F2412" s="129"/>
    </row>
    <row r="2413" spans="2:6" s="7" customFormat="1" ht="13.5">
      <c r="B2413" s="30"/>
      <c r="C2413" s="30"/>
      <c r="D2413" s="31"/>
      <c r="E2413" s="35"/>
      <c r="F2413" s="129"/>
    </row>
    <row r="2414" spans="2:6" s="7" customFormat="1" ht="13.5">
      <c r="B2414" s="30"/>
      <c r="C2414" s="30"/>
      <c r="D2414" s="31"/>
      <c r="E2414" s="35"/>
      <c r="F2414" s="129"/>
    </row>
    <row r="2415" spans="2:6" s="7" customFormat="1" ht="13.5">
      <c r="B2415" s="30"/>
      <c r="C2415" s="30"/>
      <c r="D2415" s="31"/>
      <c r="E2415" s="35"/>
      <c r="F2415" s="129"/>
    </row>
    <row r="2416" spans="2:6" s="7" customFormat="1" ht="13.5">
      <c r="B2416" s="30"/>
      <c r="C2416" s="30"/>
      <c r="D2416" s="31"/>
      <c r="E2416" s="35"/>
      <c r="F2416" s="129"/>
    </row>
    <row r="2417" spans="2:6" s="7" customFormat="1" ht="13.5">
      <c r="B2417" s="30"/>
      <c r="C2417" s="30"/>
      <c r="D2417" s="31"/>
      <c r="E2417" s="35"/>
      <c r="F2417" s="129"/>
    </row>
    <row r="2418" spans="2:6" s="7" customFormat="1" ht="13.5">
      <c r="B2418" s="30"/>
      <c r="C2418" s="30"/>
      <c r="D2418" s="31"/>
      <c r="E2418" s="35"/>
      <c r="F2418" s="129"/>
    </row>
    <row r="2419" spans="2:6" s="7" customFormat="1" ht="13.5">
      <c r="B2419" s="30"/>
      <c r="C2419" s="30"/>
      <c r="D2419" s="31"/>
      <c r="E2419" s="35"/>
      <c r="F2419" s="129"/>
    </row>
    <row r="2420" spans="2:6" s="7" customFormat="1" ht="13.5">
      <c r="B2420" s="30"/>
      <c r="C2420" s="30"/>
      <c r="D2420" s="31"/>
      <c r="E2420" s="35"/>
      <c r="F2420" s="129"/>
    </row>
    <row r="2421" spans="2:6" s="7" customFormat="1" ht="13.5">
      <c r="B2421" s="30"/>
      <c r="C2421" s="30"/>
      <c r="D2421" s="31"/>
      <c r="E2421" s="35"/>
      <c r="F2421" s="129"/>
    </row>
    <row r="2422" spans="2:6" s="7" customFormat="1" ht="13.5">
      <c r="B2422" s="30"/>
      <c r="C2422" s="30"/>
      <c r="D2422" s="31"/>
      <c r="E2422" s="35"/>
      <c r="F2422" s="129"/>
    </row>
    <row r="2423" spans="2:6" s="7" customFormat="1" ht="13.5">
      <c r="B2423" s="30"/>
      <c r="C2423" s="30"/>
      <c r="D2423" s="31"/>
      <c r="E2423" s="35"/>
      <c r="F2423" s="129"/>
    </row>
    <row r="2424" spans="2:6" s="7" customFormat="1" ht="13.5">
      <c r="B2424" s="30"/>
      <c r="C2424" s="30"/>
      <c r="D2424" s="31"/>
      <c r="E2424" s="35"/>
      <c r="F2424" s="129"/>
    </row>
    <row r="2425" spans="2:6" s="7" customFormat="1" ht="13.5">
      <c r="B2425" s="30"/>
      <c r="C2425" s="30"/>
      <c r="D2425" s="31"/>
      <c r="E2425" s="35"/>
      <c r="F2425" s="129"/>
    </row>
    <row r="2426" spans="2:6" s="7" customFormat="1" ht="13.5">
      <c r="B2426" s="30"/>
      <c r="C2426" s="30"/>
      <c r="D2426" s="31"/>
      <c r="E2426" s="35"/>
      <c r="F2426" s="129"/>
    </row>
    <row r="2427" spans="2:6" s="7" customFormat="1" ht="13.5">
      <c r="B2427" s="30"/>
      <c r="C2427" s="30"/>
      <c r="D2427" s="31"/>
      <c r="E2427" s="35"/>
      <c r="F2427" s="129"/>
    </row>
    <row r="2428" spans="2:6" s="7" customFormat="1" ht="13.5">
      <c r="B2428" s="30"/>
      <c r="C2428" s="30"/>
      <c r="D2428" s="31"/>
      <c r="E2428" s="35"/>
      <c r="F2428" s="129"/>
    </row>
    <row r="2429" spans="2:6" s="7" customFormat="1" ht="13.5">
      <c r="B2429" s="30"/>
      <c r="C2429" s="30"/>
      <c r="D2429" s="31"/>
      <c r="E2429" s="35"/>
      <c r="F2429" s="129"/>
    </row>
    <row r="2430" spans="2:6" s="7" customFormat="1" ht="13.5">
      <c r="B2430" s="30"/>
      <c r="C2430" s="30"/>
      <c r="D2430" s="31"/>
      <c r="E2430" s="35"/>
      <c r="F2430" s="129"/>
    </row>
    <row r="2431" spans="2:6" s="7" customFormat="1" ht="13.5">
      <c r="B2431" s="30"/>
      <c r="C2431" s="30"/>
      <c r="D2431" s="31"/>
      <c r="E2431" s="35"/>
      <c r="F2431" s="129"/>
    </row>
    <row r="2432" spans="2:6" s="7" customFormat="1" ht="13.5">
      <c r="B2432" s="30"/>
      <c r="C2432" s="30"/>
      <c r="D2432" s="31"/>
      <c r="E2432" s="35"/>
      <c r="F2432" s="129"/>
    </row>
    <row r="2433" spans="2:6" s="7" customFormat="1" ht="13.5">
      <c r="B2433" s="30"/>
      <c r="C2433" s="30"/>
      <c r="D2433" s="31"/>
      <c r="E2433" s="35"/>
      <c r="F2433" s="129"/>
    </row>
    <row r="2434" spans="2:6" s="7" customFormat="1" ht="13.5">
      <c r="B2434" s="30"/>
      <c r="C2434" s="30"/>
      <c r="D2434" s="31"/>
      <c r="E2434" s="35"/>
      <c r="F2434" s="129"/>
    </row>
    <row r="2435" spans="2:6" s="7" customFormat="1" ht="13.5">
      <c r="B2435" s="30"/>
      <c r="C2435" s="30"/>
      <c r="D2435" s="31"/>
      <c r="E2435" s="35"/>
      <c r="F2435" s="129"/>
    </row>
    <row r="2436" spans="2:6" s="7" customFormat="1" ht="13.5">
      <c r="B2436" s="30"/>
      <c r="C2436" s="30"/>
      <c r="D2436" s="31"/>
      <c r="E2436" s="35"/>
      <c r="F2436" s="129"/>
    </row>
    <row r="2437" spans="2:6" s="7" customFormat="1" ht="13.5">
      <c r="B2437" s="30"/>
      <c r="C2437" s="30"/>
      <c r="D2437" s="31"/>
      <c r="E2437" s="35"/>
      <c r="F2437" s="129"/>
    </row>
    <row r="2438" spans="2:6" s="7" customFormat="1" ht="13.5">
      <c r="B2438" s="30"/>
      <c r="C2438" s="30"/>
      <c r="D2438" s="31"/>
      <c r="E2438" s="35"/>
      <c r="F2438" s="129"/>
    </row>
    <row r="2439" spans="2:6" s="7" customFormat="1" ht="13.5">
      <c r="B2439" s="30"/>
      <c r="C2439" s="30"/>
      <c r="D2439" s="31"/>
      <c r="E2439" s="35"/>
      <c r="F2439" s="129"/>
    </row>
    <row r="2440" spans="2:6" s="7" customFormat="1" ht="13.5">
      <c r="B2440" s="30"/>
      <c r="C2440" s="30"/>
      <c r="D2440" s="31"/>
      <c r="E2440" s="35"/>
      <c r="F2440" s="129"/>
    </row>
    <row r="2441" spans="2:6" s="7" customFormat="1" ht="13.5">
      <c r="B2441" s="30"/>
      <c r="C2441" s="30"/>
      <c r="D2441" s="31"/>
      <c r="E2441" s="35"/>
      <c r="F2441" s="129"/>
    </row>
    <row r="2442" spans="2:6" s="7" customFormat="1" ht="13.5">
      <c r="B2442" s="30"/>
      <c r="C2442" s="30"/>
      <c r="D2442" s="31"/>
      <c r="E2442" s="35"/>
      <c r="F2442" s="129"/>
    </row>
    <row r="2443" spans="2:6" s="7" customFormat="1" ht="13.5">
      <c r="B2443" s="30"/>
      <c r="C2443" s="30"/>
      <c r="D2443" s="31"/>
      <c r="E2443" s="35"/>
      <c r="F2443" s="129"/>
    </row>
    <row r="2444" spans="2:6" s="7" customFormat="1" ht="13.5">
      <c r="B2444" s="30"/>
      <c r="C2444" s="30"/>
      <c r="D2444" s="31"/>
      <c r="E2444" s="35"/>
      <c r="F2444" s="129"/>
    </row>
    <row r="2445" spans="2:6" s="7" customFormat="1" ht="13.5">
      <c r="B2445" s="30"/>
      <c r="C2445" s="30"/>
      <c r="D2445" s="31"/>
      <c r="E2445" s="35"/>
      <c r="F2445" s="129"/>
    </row>
    <row r="2446" spans="2:6" s="7" customFormat="1" ht="13.5">
      <c r="B2446" s="30"/>
      <c r="C2446" s="30"/>
      <c r="D2446" s="31"/>
      <c r="E2446" s="35"/>
      <c r="F2446" s="129"/>
    </row>
    <row r="2447" spans="2:6" s="7" customFormat="1" ht="13.5">
      <c r="B2447" s="30"/>
      <c r="C2447" s="30"/>
      <c r="D2447" s="31"/>
      <c r="E2447" s="35"/>
      <c r="F2447" s="129"/>
    </row>
    <row r="2448" spans="2:6" s="7" customFormat="1" ht="13.5">
      <c r="B2448" s="30"/>
      <c r="C2448" s="30"/>
      <c r="D2448" s="31"/>
      <c r="E2448" s="35"/>
      <c r="F2448" s="129"/>
    </row>
    <row r="2449" spans="2:6" s="7" customFormat="1" ht="13.5">
      <c r="B2449" s="30"/>
      <c r="C2449" s="30"/>
      <c r="D2449" s="31"/>
      <c r="E2449" s="35"/>
      <c r="F2449" s="129"/>
    </row>
    <row r="2450" spans="2:6" s="7" customFormat="1" ht="13.5">
      <c r="B2450" s="30"/>
      <c r="C2450" s="30"/>
      <c r="D2450" s="31"/>
      <c r="E2450" s="35"/>
      <c r="F2450" s="129"/>
    </row>
    <row r="2451" spans="2:6" s="7" customFormat="1" ht="13.5">
      <c r="B2451" s="30"/>
      <c r="C2451" s="30"/>
      <c r="D2451" s="31"/>
      <c r="E2451" s="35"/>
      <c r="F2451" s="129"/>
    </row>
    <row r="2452" spans="2:6" s="7" customFormat="1" ht="13.5">
      <c r="B2452" s="30"/>
      <c r="C2452" s="30"/>
      <c r="D2452" s="31"/>
      <c r="E2452" s="35"/>
      <c r="F2452" s="129"/>
    </row>
    <row r="2453" spans="2:6" s="7" customFormat="1" ht="13.5">
      <c r="B2453" s="30"/>
      <c r="C2453" s="30"/>
      <c r="D2453" s="31"/>
      <c r="E2453" s="35"/>
      <c r="F2453" s="129"/>
    </row>
    <row r="2454" spans="2:6" s="7" customFormat="1" ht="13.5">
      <c r="B2454" s="30"/>
      <c r="C2454" s="30"/>
      <c r="D2454" s="31"/>
      <c r="E2454" s="35"/>
      <c r="F2454" s="129"/>
    </row>
    <row r="2455" spans="2:6" s="7" customFormat="1" ht="13.5">
      <c r="B2455" s="30"/>
      <c r="C2455" s="30"/>
      <c r="D2455" s="31"/>
      <c r="E2455" s="35"/>
      <c r="F2455" s="129"/>
    </row>
    <row r="2456" spans="2:6" s="7" customFormat="1" ht="13.5">
      <c r="B2456" s="30"/>
      <c r="C2456" s="30"/>
      <c r="D2456" s="31"/>
      <c r="E2456" s="35"/>
      <c r="F2456" s="129"/>
    </row>
    <row r="2457" spans="2:6" s="7" customFormat="1" ht="13.5">
      <c r="B2457" s="30"/>
      <c r="C2457" s="30"/>
      <c r="D2457" s="31"/>
      <c r="E2457" s="35"/>
      <c r="F2457" s="129"/>
    </row>
    <row r="2458" spans="2:6" s="7" customFormat="1" ht="13.5">
      <c r="B2458" s="30"/>
      <c r="C2458" s="30"/>
      <c r="D2458" s="31"/>
      <c r="E2458" s="35"/>
      <c r="F2458" s="129"/>
    </row>
    <row r="2459" spans="2:6" s="7" customFormat="1" ht="13.5">
      <c r="B2459" s="30"/>
      <c r="C2459" s="30"/>
      <c r="D2459" s="31"/>
      <c r="E2459" s="35"/>
      <c r="F2459" s="129"/>
    </row>
    <row r="2460" spans="2:6" s="7" customFormat="1" ht="13.5">
      <c r="B2460" s="30"/>
      <c r="C2460" s="30"/>
      <c r="D2460" s="31"/>
      <c r="E2460" s="35"/>
      <c r="F2460" s="129"/>
    </row>
    <row r="2461" spans="2:6" s="7" customFormat="1" ht="13.5">
      <c r="B2461" s="30"/>
      <c r="C2461" s="30"/>
      <c r="D2461" s="31"/>
      <c r="E2461" s="35"/>
      <c r="F2461" s="129"/>
    </row>
    <row r="2462" spans="2:6" s="7" customFormat="1" ht="13.5">
      <c r="B2462" s="30"/>
      <c r="C2462" s="30"/>
      <c r="D2462" s="31"/>
      <c r="E2462" s="35"/>
      <c r="F2462" s="129"/>
    </row>
    <row r="2463" spans="2:6" s="7" customFormat="1" ht="13.5">
      <c r="B2463" s="30"/>
      <c r="C2463" s="30"/>
      <c r="D2463" s="31"/>
      <c r="E2463" s="35"/>
      <c r="F2463" s="129"/>
    </row>
    <row r="2464" spans="2:6" s="7" customFormat="1" ht="13.5">
      <c r="B2464" s="30"/>
      <c r="C2464" s="30"/>
      <c r="D2464" s="31"/>
      <c r="E2464" s="35"/>
      <c r="F2464" s="129"/>
    </row>
    <row r="2465" spans="2:6" s="7" customFormat="1" ht="13.5">
      <c r="B2465" s="30"/>
      <c r="C2465" s="30"/>
      <c r="D2465" s="31"/>
      <c r="E2465" s="35"/>
      <c r="F2465" s="129"/>
    </row>
    <row r="2466" spans="2:6" s="7" customFormat="1" ht="13.5">
      <c r="B2466" s="30"/>
      <c r="C2466" s="30"/>
      <c r="D2466" s="31"/>
      <c r="E2466" s="35"/>
      <c r="F2466" s="129"/>
    </row>
    <row r="2467" spans="2:6" s="7" customFormat="1" ht="13.5">
      <c r="B2467" s="30"/>
      <c r="C2467" s="30"/>
      <c r="D2467" s="31"/>
      <c r="E2467" s="35"/>
      <c r="F2467" s="129"/>
    </row>
    <row r="2468" spans="2:6" s="7" customFormat="1" ht="13.5">
      <c r="B2468" s="30"/>
      <c r="C2468" s="30"/>
      <c r="D2468" s="31"/>
      <c r="E2468" s="35"/>
      <c r="F2468" s="129"/>
    </row>
    <row r="2469" spans="2:6" s="7" customFormat="1" ht="13.5">
      <c r="B2469" s="30"/>
      <c r="C2469" s="30"/>
      <c r="D2469" s="31"/>
      <c r="E2469" s="35"/>
      <c r="F2469" s="129"/>
    </row>
    <row r="2470" spans="2:6" s="7" customFormat="1" ht="13.5">
      <c r="B2470" s="30"/>
      <c r="C2470" s="30"/>
      <c r="D2470" s="31"/>
      <c r="E2470" s="35"/>
      <c r="F2470" s="129"/>
    </row>
    <row r="2471" spans="2:6" s="7" customFormat="1" ht="13.5">
      <c r="B2471" s="30"/>
      <c r="C2471" s="30"/>
      <c r="D2471" s="31"/>
      <c r="E2471" s="35"/>
      <c r="F2471" s="129"/>
    </row>
    <row r="2472" spans="2:6" s="7" customFormat="1" ht="13.5">
      <c r="B2472" s="30"/>
      <c r="C2472" s="30"/>
      <c r="D2472" s="31"/>
      <c r="E2472" s="35"/>
      <c r="F2472" s="129"/>
    </row>
    <row r="2473" spans="2:6" s="7" customFormat="1" ht="13.5">
      <c r="B2473" s="30"/>
      <c r="C2473" s="30"/>
      <c r="D2473" s="31"/>
      <c r="E2473" s="35"/>
      <c r="F2473" s="129"/>
    </row>
    <row r="2474" spans="2:6" s="7" customFormat="1" ht="13.5">
      <c r="B2474" s="30"/>
      <c r="C2474" s="30"/>
      <c r="D2474" s="31"/>
      <c r="E2474" s="35"/>
      <c r="F2474" s="129"/>
    </row>
    <row r="2475" spans="2:6" s="7" customFormat="1" ht="13.5">
      <c r="B2475" s="30"/>
      <c r="C2475" s="30"/>
      <c r="D2475" s="31"/>
      <c r="E2475" s="35"/>
      <c r="F2475" s="129"/>
    </row>
    <row r="2476" spans="2:6" s="7" customFormat="1" ht="13.5">
      <c r="B2476" s="30"/>
      <c r="C2476" s="30"/>
      <c r="D2476" s="31"/>
      <c r="E2476" s="35"/>
      <c r="F2476" s="129"/>
    </row>
    <row r="2477" spans="2:6" s="7" customFormat="1" ht="13.5">
      <c r="B2477" s="30"/>
      <c r="C2477" s="30"/>
      <c r="D2477" s="31"/>
      <c r="E2477" s="35"/>
      <c r="F2477" s="129"/>
    </row>
    <row r="2478" spans="2:6" s="7" customFormat="1" ht="13.5">
      <c r="B2478" s="30"/>
      <c r="C2478" s="30"/>
      <c r="D2478" s="31"/>
      <c r="E2478" s="35"/>
      <c r="F2478" s="129"/>
    </row>
    <row r="2479" spans="2:6" s="7" customFormat="1" ht="13.5">
      <c r="B2479" s="30"/>
      <c r="C2479" s="30"/>
      <c r="D2479" s="31"/>
      <c r="E2479" s="35"/>
      <c r="F2479" s="129"/>
    </row>
    <row r="2480" spans="2:6" s="7" customFormat="1" ht="13.5">
      <c r="B2480" s="30"/>
      <c r="C2480" s="30"/>
      <c r="D2480" s="31"/>
      <c r="E2480" s="35"/>
      <c r="F2480" s="129"/>
    </row>
    <row r="2481" spans="2:6" s="7" customFormat="1" ht="13.5">
      <c r="B2481" s="30"/>
      <c r="C2481" s="30"/>
      <c r="D2481" s="31"/>
      <c r="E2481" s="35"/>
      <c r="F2481" s="129"/>
    </row>
    <row r="2482" spans="2:6" s="7" customFormat="1" ht="13.5">
      <c r="B2482" s="30"/>
      <c r="C2482" s="30"/>
      <c r="D2482" s="31"/>
      <c r="E2482" s="35"/>
      <c r="F2482" s="129"/>
    </row>
    <row r="2483" spans="2:6" s="7" customFormat="1" ht="13.5">
      <c r="B2483" s="30"/>
      <c r="C2483" s="30"/>
      <c r="D2483" s="31"/>
      <c r="E2483" s="35"/>
      <c r="F2483" s="129"/>
    </row>
    <row r="2484" spans="2:6" s="7" customFormat="1" ht="13.5">
      <c r="B2484" s="30"/>
      <c r="C2484" s="30"/>
      <c r="D2484" s="31"/>
      <c r="E2484" s="35"/>
      <c r="F2484" s="129"/>
    </row>
    <row r="2485" spans="2:6" s="7" customFormat="1" ht="13.5">
      <c r="B2485" s="30"/>
      <c r="C2485" s="30"/>
      <c r="D2485" s="31"/>
      <c r="E2485" s="35"/>
      <c r="F2485" s="129"/>
    </row>
    <row r="2486" spans="2:6" s="7" customFormat="1" ht="13.5">
      <c r="B2486" s="30"/>
      <c r="C2486" s="30"/>
      <c r="D2486" s="31"/>
      <c r="E2486" s="35"/>
      <c r="F2486" s="129"/>
    </row>
    <row r="2487" spans="2:6" s="7" customFormat="1" ht="13.5">
      <c r="B2487" s="30"/>
      <c r="C2487" s="30"/>
      <c r="D2487" s="31"/>
      <c r="E2487" s="35"/>
      <c r="F2487" s="129"/>
    </row>
    <row r="2488" spans="2:6" s="7" customFormat="1" ht="13.5">
      <c r="B2488" s="30"/>
      <c r="C2488" s="30"/>
      <c r="D2488" s="31"/>
      <c r="E2488" s="35"/>
      <c r="F2488" s="129"/>
    </row>
    <row r="2489" spans="2:6" s="7" customFormat="1" ht="13.5">
      <c r="B2489" s="30"/>
      <c r="C2489" s="30"/>
      <c r="D2489" s="31"/>
      <c r="E2489" s="35"/>
      <c r="F2489" s="129"/>
    </row>
    <row r="2490" spans="2:6" s="7" customFormat="1" ht="13.5">
      <c r="B2490" s="30"/>
      <c r="C2490" s="30"/>
      <c r="D2490" s="31"/>
      <c r="E2490" s="35"/>
      <c r="F2490" s="129"/>
    </row>
    <row r="2491" spans="2:6" s="7" customFormat="1" ht="13.5">
      <c r="B2491" s="30"/>
      <c r="C2491" s="30"/>
      <c r="D2491" s="31"/>
      <c r="E2491" s="35"/>
      <c r="F2491" s="129"/>
    </row>
    <row r="2492" spans="2:6" s="7" customFormat="1" ht="13.5">
      <c r="B2492" s="30"/>
      <c r="C2492" s="30"/>
      <c r="D2492" s="31"/>
      <c r="E2492" s="35"/>
      <c r="F2492" s="129"/>
    </row>
    <row r="2493" spans="2:6" s="7" customFormat="1" ht="13.5">
      <c r="B2493" s="30"/>
      <c r="C2493" s="30"/>
      <c r="D2493" s="31"/>
      <c r="E2493" s="35"/>
      <c r="F2493" s="129"/>
    </row>
    <row r="2494" spans="2:6" s="7" customFormat="1" ht="13.5">
      <c r="B2494" s="30"/>
      <c r="C2494" s="30"/>
      <c r="D2494" s="31"/>
      <c r="E2494" s="35"/>
      <c r="F2494" s="129"/>
    </row>
    <row r="2495" spans="2:6" s="7" customFormat="1" ht="13.5">
      <c r="B2495" s="30"/>
      <c r="C2495" s="30"/>
      <c r="D2495" s="31"/>
      <c r="E2495" s="35"/>
      <c r="F2495" s="129"/>
    </row>
    <row r="2496" spans="2:6" s="7" customFormat="1" ht="13.5">
      <c r="B2496" s="30"/>
      <c r="C2496" s="30"/>
      <c r="D2496" s="31"/>
      <c r="E2496" s="35"/>
      <c r="F2496" s="129"/>
    </row>
    <row r="2497" spans="2:6" s="7" customFormat="1" ht="13.5">
      <c r="B2497" s="30"/>
      <c r="C2497" s="30"/>
      <c r="D2497" s="31"/>
      <c r="E2497" s="35"/>
      <c r="F2497" s="129"/>
    </row>
    <row r="2498" spans="2:6" s="7" customFormat="1" ht="13.5">
      <c r="B2498" s="30"/>
      <c r="C2498" s="30"/>
      <c r="D2498" s="31"/>
      <c r="E2498" s="35"/>
      <c r="F2498" s="129"/>
    </row>
    <row r="2499" spans="2:6" s="7" customFormat="1" ht="13.5">
      <c r="B2499" s="30"/>
      <c r="C2499" s="30"/>
      <c r="D2499" s="31"/>
      <c r="E2499" s="35"/>
      <c r="F2499" s="129"/>
    </row>
    <row r="2500" spans="2:6" s="7" customFormat="1" ht="13.5">
      <c r="B2500" s="30"/>
      <c r="C2500" s="30"/>
      <c r="D2500" s="31"/>
      <c r="E2500" s="35"/>
      <c r="F2500" s="129"/>
    </row>
    <row r="2501" spans="2:6" s="7" customFormat="1" ht="13.5">
      <c r="B2501" s="30"/>
      <c r="C2501" s="30"/>
      <c r="D2501" s="31"/>
      <c r="E2501" s="35"/>
      <c r="F2501" s="129"/>
    </row>
    <row r="2502" spans="2:6" s="7" customFormat="1" ht="13.5">
      <c r="B2502" s="30"/>
      <c r="C2502" s="30"/>
      <c r="D2502" s="31"/>
      <c r="E2502" s="35"/>
      <c r="F2502" s="129"/>
    </row>
    <row r="2503" spans="2:6" s="7" customFormat="1" ht="13.5">
      <c r="B2503" s="30"/>
      <c r="C2503" s="30"/>
      <c r="D2503" s="31"/>
      <c r="E2503" s="35"/>
      <c r="F2503" s="129"/>
    </row>
    <row r="2504" spans="2:6" s="7" customFormat="1" ht="13.5">
      <c r="B2504" s="30"/>
      <c r="C2504" s="30"/>
      <c r="D2504" s="31"/>
      <c r="E2504" s="35"/>
      <c r="F2504" s="129"/>
    </row>
    <row r="2505" spans="2:6" s="7" customFormat="1" ht="13.5">
      <c r="B2505" s="30"/>
      <c r="C2505" s="30"/>
      <c r="D2505" s="31"/>
      <c r="E2505" s="35"/>
      <c r="F2505" s="129"/>
    </row>
    <row r="2506" spans="2:6" s="7" customFormat="1" ht="13.5">
      <c r="B2506" s="30"/>
      <c r="C2506" s="30"/>
      <c r="D2506" s="31"/>
      <c r="E2506" s="35"/>
      <c r="F2506" s="129"/>
    </row>
    <row r="2507" spans="2:6" s="7" customFormat="1" ht="13.5">
      <c r="B2507" s="30"/>
      <c r="C2507" s="30"/>
      <c r="D2507" s="31"/>
      <c r="E2507" s="35"/>
      <c r="F2507" s="129"/>
    </row>
    <row r="2508" spans="2:6" s="7" customFormat="1" ht="13.5">
      <c r="B2508" s="30"/>
      <c r="C2508" s="30"/>
      <c r="D2508" s="31"/>
      <c r="E2508" s="35"/>
      <c r="F2508" s="129"/>
    </row>
    <row r="2509" spans="2:6" s="7" customFormat="1" ht="13.5">
      <c r="B2509" s="30"/>
      <c r="C2509" s="30"/>
      <c r="D2509" s="31"/>
      <c r="E2509" s="35"/>
      <c r="F2509" s="129"/>
    </row>
    <row r="2510" spans="2:6" s="7" customFormat="1" ht="13.5">
      <c r="B2510" s="30"/>
      <c r="C2510" s="30"/>
      <c r="D2510" s="31"/>
      <c r="E2510" s="35"/>
      <c r="F2510" s="129"/>
    </row>
    <row r="2511" spans="2:6" s="7" customFormat="1" ht="13.5">
      <c r="B2511" s="30"/>
      <c r="C2511" s="30"/>
      <c r="D2511" s="31"/>
      <c r="E2511" s="35"/>
      <c r="F2511" s="129"/>
    </row>
    <row r="2512" spans="2:6" s="7" customFormat="1" ht="13.5">
      <c r="B2512" s="30"/>
      <c r="C2512" s="30"/>
      <c r="D2512" s="31"/>
      <c r="E2512" s="35"/>
      <c r="F2512" s="129"/>
    </row>
    <row r="2513" spans="2:6" s="7" customFormat="1" ht="13.5">
      <c r="B2513" s="30"/>
      <c r="C2513" s="30"/>
      <c r="D2513" s="31"/>
      <c r="E2513" s="35"/>
      <c r="F2513" s="129"/>
    </row>
    <row r="2514" spans="2:6" s="7" customFormat="1" ht="13.5">
      <c r="B2514" s="30"/>
      <c r="C2514" s="30"/>
      <c r="D2514" s="31"/>
      <c r="E2514" s="35"/>
      <c r="F2514" s="129"/>
    </row>
    <row r="2515" spans="2:6" s="7" customFormat="1" ht="13.5">
      <c r="B2515" s="30"/>
      <c r="C2515" s="30"/>
      <c r="D2515" s="31"/>
      <c r="E2515" s="35"/>
      <c r="F2515" s="129"/>
    </row>
    <row r="2516" spans="2:6" s="7" customFormat="1" ht="13.5">
      <c r="B2516" s="30"/>
      <c r="C2516" s="30"/>
      <c r="D2516" s="31"/>
      <c r="E2516" s="35"/>
      <c r="F2516" s="129"/>
    </row>
    <row r="2517" spans="2:6" s="7" customFormat="1" ht="13.5">
      <c r="B2517" s="30"/>
      <c r="C2517" s="30"/>
      <c r="D2517" s="31"/>
      <c r="E2517" s="35"/>
      <c r="F2517" s="129"/>
    </row>
    <row r="2518" spans="2:6" s="7" customFormat="1" ht="13.5">
      <c r="B2518" s="30"/>
      <c r="C2518" s="30"/>
      <c r="D2518" s="31"/>
      <c r="E2518" s="35"/>
      <c r="F2518" s="129"/>
    </row>
    <row r="2519" spans="2:6" s="7" customFormat="1" ht="13.5">
      <c r="B2519" s="30"/>
      <c r="C2519" s="30"/>
      <c r="D2519" s="31"/>
      <c r="E2519" s="35"/>
      <c r="F2519" s="129"/>
    </row>
    <row r="2520" spans="2:6" s="7" customFormat="1" ht="13.5">
      <c r="B2520" s="30"/>
      <c r="C2520" s="30"/>
      <c r="D2520" s="31"/>
      <c r="E2520" s="35"/>
      <c r="F2520" s="129"/>
    </row>
    <row r="2521" spans="2:6" s="7" customFormat="1" ht="13.5">
      <c r="B2521" s="30"/>
      <c r="C2521" s="30"/>
      <c r="D2521" s="31"/>
      <c r="E2521" s="35"/>
      <c r="F2521" s="129"/>
    </row>
    <row r="2522" spans="2:6" s="7" customFormat="1" ht="13.5">
      <c r="B2522" s="30"/>
      <c r="C2522" s="30"/>
      <c r="D2522" s="31"/>
      <c r="E2522" s="35"/>
      <c r="F2522" s="129"/>
    </row>
    <row r="2523" spans="2:6" s="7" customFormat="1" ht="13.5">
      <c r="B2523" s="30"/>
      <c r="C2523" s="30"/>
      <c r="D2523" s="31"/>
      <c r="E2523" s="35"/>
      <c r="F2523" s="129"/>
    </row>
    <row r="2524" spans="2:6" s="7" customFormat="1" ht="13.5">
      <c r="B2524" s="30"/>
      <c r="C2524" s="30"/>
      <c r="D2524" s="31"/>
      <c r="E2524" s="35"/>
      <c r="F2524" s="129"/>
    </row>
    <row r="2525" spans="2:6" s="7" customFormat="1" ht="13.5">
      <c r="B2525" s="30"/>
      <c r="C2525" s="30"/>
      <c r="D2525" s="31"/>
      <c r="E2525" s="35"/>
      <c r="F2525" s="129"/>
    </row>
    <row r="2526" spans="2:6" s="7" customFormat="1" ht="13.5">
      <c r="B2526" s="30"/>
      <c r="C2526" s="30"/>
      <c r="D2526" s="31"/>
      <c r="E2526" s="35"/>
      <c r="F2526" s="129"/>
    </row>
    <row r="2527" spans="2:6" s="7" customFormat="1" ht="13.5">
      <c r="B2527" s="30"/>
      <c r="C2527" s="30"/>
      <c r="D2527" s="31"/>
      <c r="E2527" s="35"/>
      <c r="F2527" s="129"/>
    </row>
    <row r="2528" spans="2:6" s="7" customFormat="1" ht="13.5">
      <c r="B2528" s="30"/>
      <c r="C2528" s="30"/>
      <c r="D2528" s="31"/>
      <c r="E2528" s="35"/>
      <c r="F2528" s="129"/>
    </row>
    <row r="2529" spans="2:6" s="7" customFormat="1" ht="13.5">
      <c r="B2529" s="30"/>
      <c r="C2529" s="30"/>
      <c r="D2529" s="31"/>
      <c r="E2529" s="35"/>
      <c r="F2529" s="129"/>
    </row>
    <row r="2530" spans="2:6" s="7" customFormat="1" ht="13.5">
      <c r="B2530" s="30"/>
      <c r="C2530" s="30"/>
      <c r="D2530" s="31"/>
      <c r="E2530" s="35"/>
      <c r="F2530" s="129"/>
    </row>
    <row r="2531" spans="2:6" s="7" customFormat="1" ht="13.5">
      <c r="B2531" s="30"/>
      <c r="C2531" s="30"/>
      <c r="D2531" s="31"/>
      <c r="E2531" s="35"/>
      <c r="F2531" s="129"/>
    </row>
    <row r="2532" spans="2:6" s="7" customFormat="1" ht="13.5">
      <c r="B2532" s="30"/>
      <c r="C2532" s="30"/>
      <c r="D2532" s="31"/>
      <c r="E2532" s="35"/>
      <c r="F2532" s="129"/>
    </row>
    <row r="2533" spans="2:6" s="7" customFormat="1" ht="13.5">
      <c r="B2533" s="30"/>
      <c r="C2533" s="30"/>
      <c r="D2533" s="31"/>
      <c r="E2533" s="35"/>
      <c r="F2533" s="129"/>
    </row>
    <row r="2534" spans="2:6" s="7" customFormat="1" ht="13.5">
      <c r="B2534" s="30"/>
      <c r="C2534" s="30"/>
      <c r="D2534" s="31"/>
      <c r="E2534" s="35"/>
      <c r="F2534" s="129"/>
    </row>
    <row r="2535" spans="2:6" s="7" customFormat="1" ht="13.5">
      <c r="B2535" s="30"/>
      <c r="C2535" s="30"/>
      <c r="D2535" s="31"/>
      <c r="E2535" s="35"/>
      <c r="F2535" s="129"/>
    </row>
    <row r="2536" spans="2:6" s="7" customFormat="1" ht="13.5">
      <c r="B2536" s="30"/>
      <c r="C2536" s="30"/>
      <c r="D2536" s="31"/>
      <c r="E2536" s="35"/>
      <c r="F2536" s="129"/>
    </row>
    <row r="2537" spans="2:6" s="7" customFormat="1" ht="13.5">
      <c r="B2537" s="30"/>
      <c r="C2537" s="30"/>
      <c r="D2537" s="31"/>
      <c r="E2537" s="35"/>
      <c r="F2537" s="129"/>
    </row>
    <row r="2538" spans="2:6" s="7" customFormat="1" ht="13.5">
      <c r="B2538" s="30"/>
      <c r="C2538" s="30"/>
      <c r="D2538" s="31"/>
      <c r="E2538" s="35"/>
      <c r="F2538" s="129"/>
    </row>
    <row r="2539" spans="2:6" s="7" customFormat="1" ht="13.5">
      <c r="B2539" s="30"/>
      <c r="C2539" s="30"/>
      <c r="D2539" s="31"/>
      <c r="E2539" s="35"/>
      <c r="F2539" s="129"/>
    </row>
    <row r="2540" spans="2:6" s="7" customFormat="1" ht="13.5">
      <c r="B2540" s="30"/>
      <c r="C2540" s="30"/>
      <c r="D2540" s="31"/>
      <c r="E2540" s="35"/>
      <c r="F2540" s="129"/>
    </row>
    <row r="2541" spans="2:6" s="7" customFormat="1" ht="13.5">
      <c r="B2541" s="30"/>
      <c r="C2541" s="30"/>
      <c r="D2541" s="31"/>
      <c r="E2541" s="35"/>
      <c r="F2541" s="129"/>
    </row>
    <row r="2542" spans="2:6" s="7" customFormat="1" ht="13.5">
      <c r="B2542" s="30"/>
      <c r="C2542" s="30"/>
      <c r="D2542" s="31"/>
      <c r="E2542" s="35"/>
      <c r="F2542" s="129"/>
    </row>
    <row r="2543" spans="2:6" s="7" customFormat="1" ht="13.5">
      <c r="B2543" s="30"/>
      <c r="C2543" s="30"/>
      <c r="D2543" s="31"/>
      <c r="E2543" s="35"/>
      <c r="F2543" s="129"/>
    </row>
    <row r="2544" spans="2:6" s="7" customFormat="1" ht="13.5">
      <c r="B2544" s="30"/>
      <c r="C2544" s="30"/>
      <c r="D2544" s="31"/>
      <c r="E2544" s="35"/>
      <c r="F2544" s="129"/>
    </row>
    <row r="2545" spans="2:6" s="7" customFormat="1" ht="13.5">
      <c r="B2545" s="30"/>
      <c r="C2545" s="30"/>
      <c r="D2545" s="31"/>
      <c r="E2545" s="35"/>
      <c r="F2545" s="129"/>
    </row>
    <row r="2546" spans="2:6" s="7" customFormat="1" ht="13.5">
      <c r="B2546" s="30"/>
      <c r="C2546" s="30"/>
      <c r="D2546" s="31"/>
      <c r="E2546" s="35"/>
      <c r="F2546" s="129"/>
    </row>
    <row r="2547" spans="2:6" s="7" customFormat="1" ht="13.5">
      <c r="B2547" s="30"/>
      <c r="C2547" s="30"/>
      <c r="D2547" s="31"/>
      <c r="E2547" s="35"/>
      <c r="F2547" s="129"/>
    </row>
    <row r="2548" spans="2:6" s="7" customFormat="1" ht="13.5">
      <c r="B2548" s="30"/>
      <c r="C2548" s="30"/>
      <c r="D2548" s="31"/>
      <c r="E2548" s="35"/>
      <c r="F2548" s="129"/>
    </row>
    <row r="2549" spans="2:6" s="7" customFormat="1" ht="13.5">
      <c r="B2549" s="30"/>
      <c r="C2549" s="30"/>
      <c r="D2549" s="31"/>
      <c r="E2549" s="35"/>
      <c r="F2549" s="129"/>
    </row>
    <row r="2550" spans="2:6" s="7" customFormat="1" ht="13.5">
      <c r="B2550" s="30"/>
      <c r="C2550" s="30"/>
      <c r="D2550" s="31"/>
      <c r="E2550" s="35"/>
      <c r="F2550" s="129"/>
    </row>
    <row r="2551" spans="2:6" s="7" customFormat="1" ht="13.5">
      <c r="B2551" s="30"/>
      <c r="C2551" s="30"/>
      <c r="D2551" s="31"/>
      <c r="E2551" s="35"/>
      <c r="F2551" s="129"/>
    </row>
    <row r="2552" spans="2:6" s="7" customFormat="1" ht="13.5">
      <c r="B2552" s="30"/>
      <c r="C2552" s="30"/>
      <c r="D2552" s="31"/>
      <c r="E2552" s="35"/>
      <c r="F2552" s="129"/>
    </row>
    <row r="2553" spans="2:6" s="7" customFormat="1" ht="13.5">
      <c r="B2553" s="30"/>
      <c r="C2553" s="30"/>
      <c r="D2553" s="31"/>
      <c r="E2553" s="35"/>
      <c r="F2553" s="129"/>
    </row>
    <row r="2554" spans="2:6" s="7" customFormat="1" ht="13.5">
      <c r="B2554" s="30"/>
      <c r="C2554" s="30"/>
      <c r="D2554" s="31"/>
      <c r="E2554" s="35"/>
      <c r="F2554" s="129"/>
    </row>
    <row r="2555" spans="2:6" s="7" customFormat="1" ht="13.5">
      <c r="B2555" s="30"/>
      <c r="C2555" s="30"/>
      <c r="D2555" s="31"/>
      <c r="E2555" s="35"/>
      <c r="F2555" s="129"/>
    </row>
    <row r="2556" spans="2:6" s="7" customFormat="1" ht="13.5">
      <c r="B2556" s="30"/>
      <c r="C2556" s="30"/>
      <c r="D2556" s="31"/>
      <c r="E2556" s="35"/>
      <c r="F2556" s="129"/>
    </row>
    <row r="2557" spans="2:6" s="7" customFormat="1" ht="13.5">
      <c r="B2557" s="30"/>
      <c r="C2557" s="30"/>
      <c r="D2557" s="31"/>
      <c r="E2557" s="35"/>
      <c r="F2557" s="129"/>
    </row>
    <row r="2558" spans="2:6" s="7" customFormat="1" ht="13.5">
      <c r="B2558" s="30"/>
      <c r="C2558" s="30"/>
      <c r="D2558" s="31"/>
      <c r="E2558" s="35"/>
      <c r="F2558" s="129"/>
    </row>
    <row r="2559" spans="2:6" s="7" customFormat="1" ht="13.5">
      <c r="B2559" s="30"/>
      <c r="C2559" s="30"/>
      <c r="D2559" s="31"/>
      <c r="E2559" s="35"/>
      <c r="F2559" s="129"/>
    </row>
    <row r="2560" spans="2:6" s="7" customFormat="1" ht="13.5">
      <c r="B2560" s="30"/>
      <c r="C2560" s="30"/>
      <c r="D2560" s="31"/>
      <c r="E2560" s="35"/>
      <c r="F2560" s="129"/>
    </row>
    <row r="2561" spans="2:6" s="7" customFormat="1" ht="13.5">
      <c r="B2561" s="30"/>
      <c r="C2561" s="30"/>
      <c r="D2561" s="31"/>
      <c r="E2561" s="35"/>
      <c r="F2561" s="129"/>
    </row>
    <row r="2562" spans="2:6" s="7" customFormat="1" ht="13.5">
      <c r="B2562" s="30"/>
      <c r="C2562" s="30"/>
      <c r="D2562" s="31"/>
      <c r="E2562" s="35"/>
      <c r="F2562" s="129"/>
    </row>
    <row r="2563" spans="2:6" s="7" customFormat="1" ht="13.5">
      <c r="B2563" s="30"/>
      <c r="C2563" s="30"/>
      <c r="D2563" s="31"/>
      <c r="E2563" s="35"/>
      <c r="F2563" s="129"/>
    </row>
    <row r="2564" spans="2:6" s="7" customFormat="1" ht="13.5">
      <c r="B2564" s="30"/>
      <c r="C2564" s="30"/>
      <c r="D2564" s="31"/>
      <c r="E2564" s="35"/>
      <c r="F2564" s="129"/>
    </row>
    <row r="2565" spans="2:6" s="7" customFormat="1" ht="13.5">
      <c r="B2565" s="30"/>
      <c r="C2565" s="30"/>
      <c r="D2565" s="31"/>
      <c r="E2565" s="35"/>
      <c r="F2565" s="129"/>
    </row>
    <row r="2566" spans="2:6" s="7" customFormat="1" ht="13.5">
      <c r="B2566" s="30"/>
      <c r="C2566" s="30"/>
      <c r="D2566" s="31"/>
      <c r="E2566" s="35"/>
      <c r="F2566" s="129"/>
    </row>
    <row r="2567" spans="2:6" s="7" customFormat="1" ht="13.5">
      <c r="B2567" s="30"/>
      <c r="C2567" s="30"/>
      <c r="D2567" s="31"/>
      <c r="E2567" s="35"/>
      <c r="F2567" s="129"/>
    </row>
    <row r="2568" spans="2:6" s="7" customFormat="1" ht="13.5">
      <c r="B2568" s="30"/>
      <c r="C2568" s="30"/>
      <c r="D2568" s="31"/>
      <c r="E2568" s="35"/>
      <c r="F2568" s="129"/>
    </row>
    <row r="2569" spans="2:6" s="7" customFormat="1" ht="13.5">
      <c r="B2569" s="30"/>
      <c r="C2569" s="30"/>
      <c r="D2569" s="31"/>
      <c r="E2569" s="35"/>
      <c r="F2569" s="129"/>
    </row>
    <row r="2570" spans="2:6" s="7" customFormat="1" ht="13.5">
      <c r="B2570" s="30"/>
      <c r="C2570" s="30"/>
      <c r="D2570" s="31"/>
      <c r="E2570" s="35"/>
      <c r="F2570" s="129"/>
    </row>
    <row r="2571" spans="2:6" s="7" customFormat="1" ht="13.5">
      <c r="B2571" s="30"/>
      <c r="C2571" s="30"/>
      <c r="D2571" s="31"/>
      <c r="E2571" s="35"/>
      <c r="F2571" s="129"/>
    </row>
    <row r="2572" spans="2:6" s="7" customFormat="1" ht="13.5">
      <c r="B2572" s="30"/>
      <c r="C2572" s="30"/>
      <c r="D2572" s="31"/>
      <c r="E2572" s="35"/>
      <c r="F2572" s="129"/>
    </row>
    <row r="2573" spans="2:6" s="7" customFormat="1" ht="13.5">
      <c r="B2573" s="30"/>
      <c r="C2573" s="30"/>
      <c r="D2573" s="31"/>
      <c r="E2573" s="35"/>
      <c r="F2573" s="129"/>
    </row>
    <row r="2574" spans="2:6" s="7" customFormat="1" ht="13.5">
      <c r="B2574" s="30"/>
      <c r="C2574" s="30"/>
      <c r="D2574" s="31"/>
      <c r="E2574" s="35"/>
      <c r="F2574" s="129"/>
    </row>
    <row r="2575" spans="2:6" s="7" customFormat="1" ht="13.5">
      <c r="B2575" s="30"/>
      <c r="C2575" s="30"/>
      <c r="D2575" s="31"/>
      <c r="E2575" s="35"/>
      <c r="F2575" s="129"/>
    </row>
    <row r="2576" spans="2:6" s="7" customFormat="1" ht="13.5">
      <c r="B2576" s="30"/>
      <c r="C2576" s="30"/>
      <c r="D2576" s="31"/>
      <c r="E2576" s="35"/>
      <c r="F2576" s="129"/>
    </row>
    <row r="2577" spans="2:6" s="7" customFormat="1" ht="13.5">
      <c r="B2577" s="30"/>
      <c r="C2577" s="30"/>
      <c r="D2577" s="31"/>
      <c r="E2577" s="35"/>
      <c r="F2577" s="129"/>
    </row>
    <row r="2578" spans="2:6" s="7" customFormat="1" ht="13.5">
      <c r="B2578" s="30"/>
      <c r="C2578" s="30"/>
      <c r="D2578" s="31"/>
      <c r="E2578" s="35"/>
      <c r="F2578" s="129"/>
    </row>
    <row r="2579" spans="2:6" s="7" customFormat="1" ht="13.5">
      <c r="B2579" s="30"/>
      <c r="C2579" s="30"/>
      <c r="D2579" s="31"/>
      <c r="E2579" s="35"/>
      <c r="F2579" s="129"/>
    </row>
    <row r="2580" spans="2:6" s="7" customFormat="1" ht="13.5">
      <c r="B2580" s="30"/>
      <c r="C2580" s="30"/>
      <c r="D2580" s="31"/>
      <c r="E2580" s="35"/>
      <c r="F2580" s="129"/>
    </row>
    <row r="2581" spans="2:6" s="7" customFormat="1" ht="13.5">
      <c r="B2581" s="30"/>
      <c r="C2581" s="30"/>
      <c r="D2581" s="31"/>
      <c r="E2581" s="35"/>
      <c r="F2581" s="129"/>
    </row>
    <row r="2582" spans="2:6" s="7" customFormat="1" ht="13.5">
      <c r="B2582" s="30"/>
      <c r="C2582" s="30"/>
      <c r="D2582" s="31"/>
      <c r="E2582" s="35"/>
      <c r="F2582" s="129"/>
    </row>
    <row r="2583" spans="2:6" s="7" customFormat="1" ht="13.5">
      <c r="B2583" s="30"/>
      <c r="C2583" s="30"/>
      <c r="D2583" s="31"/>
      <c r="E2583" s="35"/>
      <c r="F2583" s="129"/>
    </row>
    <row r="2584" spans="2:6" s="7" customFormat="1" ht="13.5">
      <c r="B2584" s="30"/>
      <c r="C2584" s="30"/>
      <c r="D2584" s="31"/>
      <c r="E2584" s="35"/>
      <c r="F2584" s="129"/>
    </row>
    <row r="2585" spans="2:6" s="7" customFormat="1" ht="13.5">
      <c r="B2585" s="30"/>
      <c r="C2585" s="30"/>
      <c r="D2585" s="31"/>
      <c r="E2585" s="35"/>
      <c r="F2585" s="129"/>
    </row>
    <row r="2586" spans="2:6" s="7" customFormat="1" ht="13.5">
      <c r="B2586" s="30"/>
      <c r="C2586" s="30"/>
      <c r="D2586" s="31"/>
      <c r="E2586" s="35"/>
      <c r="F2586" s="129"/>
    </row>
    <row r="2587" spans="2:6" s="7" customFormat="1" ht="13.5">
      <c r="B2587" s="30"/>
      <c r="C2587" s="30"/>
      <c r="D2587" s="31"/>
      <c r="E2587" s="35"/>
      <c r="F2587" s="129"/>
    </row>
    <row r="2588" spans="2:6" s="7" customFormat="1" ht="13.5">
      <c r="B2588" s="30"/>
      <c r="C2588" s="30"/>
      <c r="D2588" s="31"/>
      <c r="E2588" s="35"/>
      <c r="F2588" s="129"/>
    </row>
    <row r="2589" spans="2:6" s="7" customFormat="1" ht="13.5">
      <c r="B2589" s="30"/>
      <c r="C2589" s="30"/>
      <c r="D2589" s="31"/>
      <c r="E2589" s="35"/>
      <c r="F2589" s="129"/>
    </row>
    <row r="2590" spans="2:6" s="7" customFormat="1" ht="13.5">
      <c r="B2590" s="30"/>
      <c r="C2590" s="30"/>
      <c r="D2590" s="31"/>
      <c r="E2590" s="35"/>
      <c r="F2590" s="129"/>
    </row>
    <row r="2591" spans="2:6" s="7" customFormat="1" ht="13.5">
      <c r="B2591" s="30"/>
      <c r="C2591" s="30"/>
      <c r="D2591" s="31"/>
      <c r="E2591" s="35"/>
      <c r="F2591" s="129"/>
    </row>
    <row r="2592" spans="2:6" s="7" customFormat="1" ht="13.5">
      <c r="B2592" s="30"/>
      <c r="C2592" s="30"/>
      <c r="D2592" s="31"/>
      <c r="E2592" s="35"/>
      <c r="F2592" s="129"/>
    </row>
    <row r="2593" spans="2:6" s="7" customFormat="1" ht="13.5">
      <c r="B2593" s="30"/>
      <c r="C2593" s="30"/>
      <c r="D2593" s="31"/>
      <c r="E2593" s="35"/>
      <c r="F2593" s="129"/>
    </row>
    <row r="2594" spans="2:6" s="7" customFormat="1" ht="13.5">
      <c r="B2594" s="30"/>
      <c r="C2594" s="30"/>
      <c r="D2594" s="31"/>
      <c r="E2594" s="35"/>
      <c r="F2594" s="129"/>
    </row>
    <row r="2595" spans="2:6" s="7" customFormat="1" ht="13.5">
      <c r="B2595" s="30"/>
      <c r="C2595" s="30"/>
      <c r="D2595" s="31"/>
      <c r="E2595" s="35"/>
      <c r="F2595" s="129"/>
    </row>
    <row r="2596" spans="2:6" s="7" customFormat="1" ht="13.5">
      <c r="B2596" s="30"/>
      <c r="C2596" s="30"/>
      <c r="D2596" s="31"/>
      <c r="E2596" s="35"/>
      <c r="F2596" s="129"/>
    </row>
    <row r="2597" spans="2:6" s="7" customFormat="1" ht="13.5">
      <c r="B2597" s="30"/>
      <c r="C2597" s="30"/>
      <c r="D2597" s="31"/>
      <c r="E2597" s="35"/>
      <c r="F2597" s="129"/>
    </row>
    <row r="2598" spans="2:6" s="7" customFormat="1" ht="13.5">
      <c r="B2598" s="30"/>
      <c r="C2598" s="30"/>
      <c r="D2598" s="31"/>
      <c r="E2598" s="35"/>
      <c r="F2598" s="129"/>
    </row>
    <row r="2599" spans="2:6" s="7" customFormat="1" ht="13.5">
      <c r="B2599" s="30"/>
      <c r="C2599" s="30"/>
      <c r="D2599" s="31"/>
      <c r="E2599" s="35"/>
      <c r="F2599" s="129"/>
    </row>
    <row r="2600" spans="2:6" s="7" customFormat="1" ht="13.5">
      <c r="B2600" s="30"/>
      <c r="C2600" s="30"/>
      <c r="D2600" s="31"/>
      <c r="E2600" s="35"/>
      <c r="F2600" s="129"/>
    </row>
    <row r="2601" spans="2:6" s="7" customFormat="1" ht="13.5">
      <c r="B2601" s="30"/>
      <c r="C2601" s="30"/>
      <c r="D2601" s="31"/>
      <c r="E2601" s="35"/>
      <c r="F2601" s="129"/>
    </row>
    <row r="2602" spans="2:6" s="7" customFormat="1" ht="13.5">
      <c r="B2602" s="30"/>
      <c r="C2602" s="30"/>
      <c r="D2602" s="31"/>
      <c r="E2602" s="35"/>
      <c r="F2602" s="129"/>
    </row>
    <row r="2603" spans="2:6" s="7" customFormat="1" ht="13.5">
      <c r="B2603" s="30"/>
      <c r="C2603" s="30"/>
      <c r="D2603" s="31"/>
      <c r="E2603" s="35"/>
      <c r="F2603" s="129"/>
    </row>
    <row r="2604" spans="2:6" s="7" customFormat="1" ht="13.5">
      <c r="B2604" s="30"/>
      <c r="C2604" s="30"/>
      <c r="D2604" s="31"/>
      <c r="E2604" s="35"/>
      <c r="F2604" s="129"/>
    </row>
    <row r="2605" spans="2:6" s="7" customFormat="1" ht="13.5">
      <c r="B2605" s="30"/>
      <c r="C2605" s="30"/>
      <c r="D2605" s="31"/>
      <c r="E2605" s="35"/>
      <c r="F2605" s="129"/>
    </row>
    <row r="2606" spans="2:6" s="7" customFormat="1" ht="13.5">
      <c r="B2606" s="30"/>
      <c r="C2606" s="30"/>
      <c r="D2606" s="31"/>
      <c r="E2606" s="35"/>
      <c r="F2606" s="129"/>
    </row>
    <row r="2607" spans="2:6" s="7" customFormat="1" ht="13.5">
      <c r="B2607" s="30"/>
      <c r="C2607" s="30"/>
      <c r="D2607" s="31"/>
      <c r="E2607" s="35"/>
      <c r="F2607" s="129"/>
    </row>
    <row r="2608" spans="2:6" s="7" customFormat="1" ht="13.5">
      <c r="B2608" s="30"/>
      <c r="C2608" s="30"/>
      <c r="D2608" s="31"/>
      <c r="E2608" s="35"/>
      <c r="F2608" s="129"/>
    </row>
    <row r="2609" spans="2:6" s="7" customFormat="1" ht="13.5">
      <c r="B2609" s="30"/>
      <c r="C2609" s="30"/>
      <c r="D2609" s="31"/>
      <c r="E2609" s="35"/>
      <c r="F2609" s="129"/>
    </row>
    <row r="2610" spans="2:6" s="7" customFormat="1" ht="13.5">
      <c r="B2610" s="30"/>
      <c r="C2610" s="30"/>
      <c r="D2610" s="31"/>
      <c r="E2610" s="35"/>
      <c r="F2610" s="129"/>
    </row>
    <row r="2611" spans="2:6" s="7" customFormat="1" ht="13.5">
      <c r="B2611" s="30"/>
      <c r="C2611" s="30"/>
      <c r="D2611" s="31"/>
      <c r="E2611" s="35"/>
      <c r="F2611" s="129"/>
    </row>
    <row r="2612" spans="2:6" s="7" customFormat="1" ht="13.5">
      <c r="B2612" s="30"/>
      <c r="C2612" s="30"/>
      <c r="D2612" s="31"/>
      <c r="E2612" s="35"/>
      <c r="F2612" s="129"/>
    </row>
    <row r="2613" spans="2:6" s="7" customFormat="1" ht="13.5">
      <c r="B2613" s="30"/>
      <c r="C2613" s="30"/>
      <c r="D2613" s="31"/>
      <c r="E2613" s="35"/>
      <c r="F2613" s="129"/>
    </row>
    <row r="2614" spans="2:6" s="7" customFormat="1" ht="13.5">
      <c r="B2614" s="30"/>
      <c r="C2614" s="30"/>
      <c r="D2614" s="31"/>
      <c r="E2614" s="35"/>
      <c r="F2614" s="129"/>
    </row>
    <row r="2615" spans="2:6" s="7" customFormat="1" ht="13.5">
      <c r="B2615" s="30"/>
      <c r="C2615" s="30"/>
      <c r="D2615" s="31"/>
      <c r="E2615" s="35"/>
      <c r="F2615" s="129"/>
    </row>
    <row r="2616" spans="2:6" s="7" customFormat="1" ht="13.5">
      <c r="B2616" s="30"/>
      <c r="C2616" s="30"/>
      <c r="D2616" s="31"/>
      <c r="E2616" s="35"/>
      <c r="F2616" s="129"/>
    </row>
    <row r="2617" spans="2:6" s="7" customFormat="1" ht="13.5">
      <c r="B2617" s="30"/>
      <c r="C2617" s="30"/>
      <c r="D2617" s="31"/>
      <c r="E2617" s="35"/>
      <c r="F2617" s="129"/>
    </row>
    <row r="2618" spans="2:6" s="7" customFormat="1" ht="13.5">
      <c r="B2618" s="30"/>
      <c r="C2618" s="30"/>
      <c r="D2618" s="31"/>
      <c r="E2618" s="35"/>
      <c r="F2618" s="129"/>
    </row>
    <row r="2619" spans="2:6" s="7" customFormat="1" ht="13.5">
      <c r="B2619" s="30"/>
      <c r="C2619" s="30"/>
      <c r="D2619" s="31"/>
      <c r="E2619" s="35"/>
      <c r="F2619" s="129"/>
    </row>
    <row r="2620" spans="2:6" s="7" customFormat="1" ht="13.5">
      <c r="B2620" s="30"/>
      <c r="C2620" s="30"/>
      <c r="D2620" s="31"/>
      <c r="E2620" s="35"/>
      <c r="F2620" s="129"/>
    </row>
    <row r="2621" spans="2:6" s="7" customFormat="1" ht="13.5">
      <c r="B2621" s="30"/>
      <c r="C2621" s="30"/>
      <c r="D2621" s="31"/>
      <c r="E2621" s="35"/>
      <c r="F2621" s="129"/>
    </row>
    <row r="2622" spans="2:6" s="7" customFormat="1" ht="13.5">
      <c r="B2622" s="30"/>
      <c r="C2622" s="30"/>
      <c r="D2622" s="31"/>
      <c r="E2622" s="35"/>
      <c r="F2622" s="129"/>
    </row>
    <row r="2623" spans="2:6" s="7" customFormat="1" ht="13.5">
      <c r="B2623" s="30"/>
      <c r="C2623" s="30"/>
      <c r="D2623" s="31"/>
      <c r="E2623" s="35"/>
      <c r="F2623" s="129"/>
    </row>
    <row r="2624" spans="2:6" s="7" customFormat="1" ht="13.5">
      <c r="B2624" s="30"/>
      <c r="C2624" s="30"/>
      <c r="D2624" s="31"/>
      <c r="E2624" s="35"/>
      <c r="F2624" s="129"/>
    </row>
    <row r="2625" spans="2:6" s="7" customFormat="1" ht="13.5">
      <c r="B2625" s="30"/>
      <c r="C2625" s="30"/>
      <c r="D2625" s="31"/>
      <c r="E2625" s="35"/>
      <c r="F2625" s="129"/>
    </row>
    <row r="2626" spans="2:6" s="7" customFormat="1" ht="13.5">
      <c r="B2626" s="30"/>
      <c r="C2626" s="30"/>
      <c r="D2626" s="31"/>
      <c r="E2626" s="35"/>
      <c r="F2626" s="129"/>
    </row>
    <row r="2627" spans="2:6" s="7" customFormat="1" ht="13.5">
      <c r="B2627" s="30"/>
      <c r="C2627" s="30"/>
      <c r="D2627" s="31"/>
      <c r="E2627" s="35"/>
      <c r="F2627" s="129"/>
    </row>
    <row r="2628" spans="2:6" s="7" customFormat="1" ht="13.5">
      <c r="B2628" s="30"/>
      <c r="C2628" s="30"/>
      <c r="D2628" s="31"/>
      <c r="E2628" s="35"/>
      <c r="F2628" s="129"/>
    </row>
    <row r="2629" spans="2:6" s="7" customFormat="1" ht="13.5">
      <c r="B2629" s="30"/>
      <c r="C2629" s="30"/>
      <c r="D2629" s="31"/>
      <c r="E2629" s="35"/>
      <c r="F2629" s="129"/>
    </row>
    <row r="2630" spans="2:6" s="7" customFormat="1" ht="13.5">
      <c r="B2630" s="30"/>
      <c r="C2630" s="30"/>
      <c r="D2630" s="31"/>
      <c r="E2630" s="35"/>
      <c r="F2630" s="129"/>
    </row>
    <row r="2631" spans="2:6" s="7" customFormat="1" ht="13.5">
      <c r="B2631" s="30"/>
      <c r="C2631" s="30"/>
      <c r="D2631" s="31"/>
      <c r="E2631" s="35"/>
      <c r="F2631" s="129"/>
    </row>
    <row r="2632" spans="2:6" s="7" customFormat="1" ht="13.5">
      <c r="B2632" s="30"/>
      <c r="C2632" s="30"/>
      <c r="D2632" s="31"/>
      <c r="E2632" s="35"/>
      <c r="F2632" s="129"/>
    </row>
    <row r="2633" spans="2:6" s="7" customFormat="1" ht="13.5">
      <c r="B2633" s="30"/>
      <c r="C2633" s="30"/>
      <c r="D2633" s="31"/>
      <c r="E2633" s="35"/>
      <c r="F2633" s="129"/>
    </row>
    <row r="2634" spans="2:6" s="7" customFormat="1" ht="13.5">
      <c r="B2634" s="30"/>
      <c r="C2634" s="30"/>
      <c r="D2634" s="31"/>
      <c r="E2634" s="35"/>
      <c r="F2634" s="129"/>
    </row>
    <row r="2635" spans="2:6" s="7" customFormat="1" ht="13.5">
      <c r="B2635" s="30"/>
      <c r="C2635" s="30"/>
      <c r="D2635" s="31"/>
      <c r="E2635" s="35"/>
      <c r="F2635" s="129"/>
    </row>
    <row r="2636" spans="2:6" s="7" customFormat="1" ht="13.5">
      <c r="B2636" s="30"/>
      <c r="C2636" s="30"/>
      <c r="D2636" s="31"/>
      <c r="E2636" s="35"/>
      <c r="F2636" s="129"/>
    </row>
    <row r="2637" spans="2:6" s="7" customFormat="1" ht="13.5">
      <c r="B2637" s="30"/>
      <c r="C2637" s="30"/>
      <c r="D2637" s="31"/>
      <c r="E2637" s="35"/>
      <c r="F2637" s="129"/>
    </row>
    <row r="2638" spans="2:6" s="7" customFormat="1" ht="13.5">
      <c r="B2638" s="30"/>
      <c r="C2638" s="30"/>
      <c r="D2638" s="31"/>
      <c r="E2638" s="35"/>
      <c r="F2638" s="129"/>
    </row>
    <row r="2639" spans="2:6" s="7" customFormat="1" ht="13.5">
      <c r="B2639" s="30"/>
      <c r="C2639" s="30"/>
      <c r="D2639" s="31"/>
      <c r="E2639" s="35"/>
      <c r="F2639" s="129"/>
    </row>
    <row r="2640" spans="2:6" s="7" customFormat="1" ht="13.5">
      <c r="B2640" s="30"/>
      <c r="C2640" s="30"/>
      <c r="D2640" s="31"/>
      <c r="E2640" s="35"/>
      <c r="F2640" s="129"/>
    </row>
    <row r="2641" spans="2:6" s="7" customFormat="1" ht="13.5">
      <c r="B2641" s="30"/>
      <c r="C2641" s="30"/>
      <c r="D2641" s="31"/>
      <c r="E2641" s="35"/>
      <c r="F2641" s="129"/>
    </row>
    <row r="2642" spans="2:6" s="7" customFormat="1" ht="13.5">
      <c r="B2642" s="30"/>
      <c r="C2642" s="30"/>
      <c r="D2642" s="31"/>
      <c r="E2642" s="35"/>
      <c r="F2642" s="129"/>
    </row>
    <row r="2643" spans="2:6" s="7" customFormat="1" ht="13.5">
      <c r="B2643" s="30"/>
      <c r="C2643" s="30"/>
      <c r="D2643" s="31"/>
      <c r="E2643" s="35"/>
      <c r="F2643" s="129"/>
    </row>
    <row r="2644" spans="2:6" s="7" customFormat="1" ht="13.5">
      <c r="B2644" s="30"/>
      <c r="C2644" s="30"/>
      <c r="D2644" s="31"/>
      <c r="E2644" s="35"/>
      <c r="F2644" s="129"/>
    </row>
    <row r="2645" spans="2:6" s="7" customFormat="1" ht="13.5">
      <c r="B2645" s="30"/>
      <c r="C2645" s="30"/>
      <c r="D2645" s="31"/>
      <c r="E2645" s="35"/>
      <c r="F2645" s="129"/>
    </row>
    <row r="2646" spans="2:6" s="7" customFormat="1" ht="13.5">
      <c r="B2646" s="30"/>
      <c r="C2646" s="30"/>
      <c r="D2646" s="31"/>
      <c r="E2646" s="35"/>
      <c r="F2646" s="129"/>
    </row>
    <row r="2647" spans="2:6" s="7" customFormat="1" ht="13.5">
      <c r="B2647" s="30"/>
      <c r="C2647" s="30"/>
      <c r="D2647" s="31"/>
      <c r="E2647" s="35"/>
      <c r="F2647" s="129"/>
    </row>
    <row r="2648" spans="2:6" s="7" customFormat="1" ht="13.5">
      <c r="B2648" s="30"/>
      <c r="C2648" s="30"/>
      <c r="D2648" s="31"/>
      <c r="E2648" s="35"/>
      <c r="F2648" s="129"/>
    </row>
    <row r="2649" spans="2:6" s="7" customFormat="1" ht="13.5">
      <c r="B2649" s="30"/>
      <c r="C2649" s="30"/>
      <c r="D2649" s="31"/>
      <c r="E2649" s="35"/>
      <c r="F2649" s="129"/>
    </row>
    <row r="2650" spans="2:6" s="7" customFormat="1" ht="13.5">
      <c r="B2650" s="30"/>
      <c r="C2650" s="30"/>
      <c r="D2650" s="31"/>
      <c r="E2650" s="35"/>
      <c r="F2650" s="129"/>
    </row>
    <row r="2651" spans="2:6" s="7" customFormat="1" ht="13.5">
      <c r="B2651" s="30"/>
      <c r="C2651" s="30"/>
      <c r="D2651" s="31"/>
      <c r="E2651" s="35"/>
      <c r="F2651" s="129"/>
    </row>
    <row r="2652" spans="2:6" s="7" customFormat="1" ht="13.5">
      <c r="B2652" s="30"/>
      <c r="C2652" s="30"/>
      <c r="D2652" s="31"/>
      <c r="E2652" s="35"/>
      <c r="F2652" s="129"/>
    </row>
    <row r="2653" spans="2:6" s="7" customFormat="1" ht="13.5">
      <c r="B2653" s="30"/>
      <c r="C2653" s="30"/>
      <c r="D2653" s="31"/>
      <c r="E2653" s="35"/>
      <c r="F2653" s="129"/>
    </row>
    <row r="2654" spans="2:6" s="7" customFormat="1" ht="13.5">
      <c r="B2654" s="30"/>
      <c r="C2654" s="30"/>
      <c r="D2654" s="31"/>
      <c r="E2654" s="35"/>
      <c r="F2654" s="129"/>
    </row>
    <row r="2655" spans="2:6" s="7" customFormat="1" ht="13.5">
      <c r="B2655" s="30"/>
      <c r="C2655" s="30"/>
      <c r="D2655" s="31"/>
      <c r="E2655" s="35"/>
      <c r="F2655" s="129"/>
    </row>
    <row r="2656" spans="2:6" s="7" customFormat="1" ht="13.5">
      <c r="B2656" s="30"/>
      <c r="C2656" s="30"/>
      <c r="D2656" s="31"/>
      <c r="E2656" s="35"/>
      <c r="F2656" s="129"/>
    </row>
    <row r="2657" spans="2:6" s="7" customFormat="1" ht="13.5">
      <c r="B2657" s="30"/>
      <c r="C2657" s="30"/>
      <c r="D2657" s="31"/>
      <c r="E2657" s="35"/>
      <c r="F2657" s="129"/>
    </row>
    <row r="2658" spans="2:6" s="7" customFormat="1" ht="13.5">
      <c r="B2658" s="30"/>
      <c r="C2658" s="30"/>
      <c r="D2658" s="31"/>
      <c r="E2658" s="35"/>
      <c r="F2658" s="129"/>
    </row>
    <row r="2659" spans="2:6" s="7" customFormat="1" ht="13.5">
      <c r="B2659" s="30"/>
      <c r="C2659" s="30"/>
      <c r="D2659" s="31"/>
      <c r="E2659" s="35"/>
      <c r="F2659" s="129"/>
    </row>
    <row r="2660" spans="2:6" s="7" customFormat="1" ht="13.5">
      <c r="B2660" s="30"/>
      <c r="C2660" s="30"/>
      <c r="D2660" s="31"/>
      <c r="E2660" s="35"/>
      <c r="F2660" s="129"/>
    </row>
    <row r="2661" spans="2:6" s="7" customFormat="1" ht="13.5">
      <c r="B2661" s="30"/>
      <c r="C2661" s="30"/>
      <c r="D2661" s="31"/>
      <c r="E2661" s="35"/>
      <c r="F2661" s="129"/>
    </row>
    <row r="2662" spans="2:6" s="7" customFormat="1" ht="13.5">
      <c r="B2662" s="30"/>
      <c r="C2662" s="30"/>
      <c r="D2662" s="31"/>
      <c r="E2662" s="35"/>
      <c r="F2662" s="129"/>
    </row>
    <row r="2663" spans="2:6" s="7" customFormat="1" ht="13.5">
      <c r="B2663" s="30"/>
      <c r="C2663" s="30"/>
      <c r="D2663" s="31"/>
      <c r="E2663" s="35"/>
      <c r="F2663" s="129"/>
    </row>
    <row r="2664" spans="2:6" s="7" customFormat="1" ht="13.5">
      <c r="B2664" s="30"/>
      <c r="C2664" s="30"/>
      <c r="D2664" s="31"/>
      <c r="E2664" s="35"/>
      <c r="F2664" s="129"/>
    </row>
    <row r="2665" spans="2:6" s="7" customFormat="1" ht="13.5">
      <c r="B2665" s="30"/>
      <c r="C2665" s="30"/>
      <c r="D2665" s="31"/>
      <c r="E2665" s="35"/>
      <c r="F2665" s="129"/>
    </row>
    <row r="2666" spans="2:6" s="7" customFormat="1" ht="13.5">
      <c r="B2666" s="30"/>
      <c r="C2666" s="30"/>
      <c r="D2666" s="31"/>
      <c r="E2666" s="35"/>
      <c r="F2666" s="129"/>
    </row>
    <row r="2667" spans="2:6" s="7" customFormat="1" ht="13.5">
      <c r="B2667" s="30"/>
      <c r="C2667" s="30"/>
      <c r="D2667" s="31"/>
      <c r="E2667" s="35"/>
      <c r="F2667" s="129"/>
    </row>
    <row r="2668" spans="2:6" s="7" customFormat="1" ht="13.5">
      <c r="B2668" s="30"/>
      <c r="C2668" s="30"/>
      <c r="D2668" s="31"/>
      <c r="E2668" s="35"/>
      <c r="F2668" s="129"/>
    </row>
    <row r="2669" spans="2:6" s="7" customFormat="1" ht="13.5">
      <c r="B2669" s="30"/>
      <c r="C2669" s="30"/>
      <c r="D2669" s="31"/>
      <c r="E2669" s="35"/>
      <c r="F2669" s="129"/>
    </row>
    <row r="2670" spans="2:6" s="7" customFormat="1" ht="13.5">
      <c r="B2670" s="30"/>
      <c r="C2670" s="30"/>
      <c r="D2670" s="31"/>
      <c r="E2670" s="35"/>
      <c r="F2670" s="129"/>
    </row>
    <row r="2671" spans="2:6" s="7" customFormat="1" ht="13.5">
      <c r="B2671" s="30"/>
      <c r="C2671" s="30"/>
      <c r="D2671" s="31"/>
      <c r="E2671" s="35"/>
      <c r="F2671" s="129"/>
    </row>
    <row r="2672" spans="2:6" s="7" customFormat="1" ht="13.5">
      <c r="B2672" s="30"/>
      <c r="C2672" s="30"/>
      <c r="D2672" s="31"/>
      <c r="E2672" s="35"/>
      <c r="F2672" s="129"/>
    </row>
    <row r="2673" spans="2:6" s="7" customFormat="1" ht="13.5">
      <c r="B2673" s="30"/>
      <c r="C2673" s="30"/>
      <c r="D2673" s="31"/>
      <c r="E2673" s="35"/>
      <c r="F2673" s="129"/>
    </row>
    <row r="2674" spans="2:6" s="7" customFormat="1" ht="13.5">
      <c r="B2674" s="30"/>
      <c r="C2674" s="30"/>
      <c r="D2674" s="31"/>
      <c r="E2674" s="35"/>
      <c r="F2674" s="129"/>
    </row>
    <row r="2675" spans="2:6" s="7" customFormat="1" ht="13.5">
      <c r="B2675" s="30"/>
      <c r="C2675" s="30"/>
      <c r="D2675" s="31"/>
      <c r="E2675" s="35"/>
      <c r="F2675" s="129"/>
    </row>
    <row r="2676" spans="2:6" s="7" customFormat="1" ht="13.5">
      <c r="B2676" s="30"/>
      <c r="C2676" s="30"/>
      <c r="D2676" s="31"/>
      <c r="E2676" s="35"/>
      <c r="F2676" s="129"/>
    </row>
    <row r="2677" spans="2:6" s="7" customFormat="1" ht="13.5">
      <c r="B2677" s="30"/>
      <c r="C2677" s="30"/>
      <c r="D2677" s="31"/>
      <c r="E2677" s="35"/>
      <c r="F2677" s="129"/>
    </row>
    <row r="2678" spans="2:6" s="7" customFormat="1" ht="13.5">
      <c r="B2678" s="30"/>
      <c r="C2678" s="30"/>
      <c r="D2678" s="31"/>
      <c r="E2678" s="35"/>
      <c r="F2678" s="129"/>
    </row>
    <row r="2679" spans="2:6" s="7" customFormat="1" ht="13.5">
      <c r="B2679" s="30"/>
      <c r="C2679" s="30"/>
      <c r="D2679" s="31"/>
      <c r="E2679" s="35"/>
      <c r="F2679" s="129"/>
    </row>
    <row r="2680" spans="2:6" s="7" customFormat="1" ht="13.5">
      <c r="B2680" s="30"/>
      <c r="C2680" s="30"/>
      <c r="D2680" s="31"/>
      <c r="E2680" s="35"/>
      <c r="F2680" s="129"/>
    </row>
    <row r="2681" spans="2:6" s="7" customFormat="1" ht="13.5">
      <c r="B2681" s="30"/>
      <c r="C2681" s="30"/>
      <c r="D2681" s="31"/>
      <c r="E2681" s="35"/>
      <c r="F2681" s="129"/>
    </row>
    <row r="2682" spans="2:6" s="7" customFormat="1" ht="13.5">
      <c r="B2682" s="30"/>
      <c r="C2682" s="30"/>
      <c r="D2682" s="31"/>
      <c r="E2682" s="35"/>
      <c r="F2682" s="129"/>
    </row>
    <row r="2683" spans="2:6" s="7" customFormat="1" ht="13.5">
      <c r="B2683" s="30"/>
      <c r="C2683" s="30"/>
      <c r="D2683" s="31"/>
      <c r="E2683" s="35"/>
      <c r="F2683" s="129"/>
    </row>
    <row r="2684" spans="2:6" s="7" customFormat="1" ht="13.5">
      <c r="B2684" s="30"/>
      <c r="C2684" s="30"/>
      <c r="D2684" s="31"/>
      <c r="E2684" s="35"/>
      <c r="F2684" s="129"/>
    </row>
    <row r="2685" spans="2:6" s="7" customFormat="1" ht="13.5">
      <c r="B2685" s="30"/>
      <c r="C2685" s="30"/>
      <c r="D2685" s="31"/>
      <c r="E2685" s="35"/>
      <c r="F2685" s="129"/>
    </row>
    <row r="2686" spans="2:6" s="7" customFormat="1" ht="13.5">
      <c r="B2686" s="30"/>
      <c r="C2686" s="30"/>
      <c r="D2686" s="31"/>
      <c r="E2686" s="35"/>
      <c r="F2686" s="129"/>
    </row>
    <row r="2687" spans="2:6" s="7" customFormat="1" ht="13.5">
      <c r="B2687" s="30"/>
      <c r="C2687" s="30"/>
      <c r="D2687" s="31"/>
      <c r="E2687" s="35"/>
      <c r="F2687" s="129"/>
    </row>
    <row r="2688" spans="2:6" s="7" customFormat="1" ht="13.5">
      <c r="B2688" s="30"/>
      <c r="C2688" s="30"/>
      <c r="D2688" s="31"/>
      <c r="E2688" s="35"/>
      <c r="F2688" s="129"/>
    </row>
    <row r="2689" spans="2:6" s="7" customFormat="1" ht="13.5">
      <c r="B2689" s="30"/>
      <c r="C2689" s="30"/>
      <c r="D2689" s="31"/>
      <c r="E2689" s="35"/>
      <c r="F2689" s="129"/>
    </row>
    <row r="2690" spans="2:6" s="7" customFormat="1" ht="13.5">
      <c r="B2690" s="30"/>
      <c r="C2690" s="30"/>
      <c r="D2690" s="31"/>
      <c r="E2690" s="35"/>
      <c r="F2690" s="129"/>
    </row>
    <row r="2691" spans="2:6" s="7" customFormat="1" ht="13.5">
      <c r="B2691" s="30"/>
      <c r="C2691" s="30"/>
      <c r="D2691" s="31"/>
      <c r="E2691" s="35"/>
      <c r="F2691" s="129"/>
    </row>
    <row r="2692" spans="2:6" s="7" customFormat="1" ht="13.5">
      <c r="B2692" s="30"/>
      <c r="C2692" s="30"/>
      <c r="D2692" s="31"/>
      <c r="E2692" s="35"/>
      <c r="F2692" s="129"/>
    </row>
    <row r="2693" spans="2:6" s="7" customFormat="1" ht="13.5">
      <c r="B2693" s="30"/>
      <c r="C2693" s="30"/>
      <c r="D2693" s="31"/>
      <c r="E2693" s="35"/>
      <c r="F2693" s="129"/>
    </row>
    <row r="2694" spans="2:6" s="7" customFormat="1" ht="13.5">
      <c r="B2694" s="30"/>
      <c r="C2694" s="30"/>
      <c r="D2694" s="31"/>
      <c r="E2694" s="35"/>
      <c r="F2694" s="129"/>
    </row>
    <row r="2695" spans="2:6" s="7" customFormat="1" ht="13.5">
      <c r="B2695" s="30"/>
      <c r="C2695" s="30"/>
      <c r="D2695" s="31"/>
      <c r="E2695" s="35"/>
      <c r="F2695" s="129"/>
    </row>
    <row r="2696" spans="2:6" s="7" customFormat="1" ht="13.5">
      <c r="B2696" s="30"/>
      <c r="C2696" s="30"/>
      <c r="D2696" s="31"/>
      <c r="E2696" s="35"/>
      <c r="F2696" s="129"/>
    </row>
    <row r="2697" spans="2:6" s="7" customFormat="1" ht="13.5">
      <c r="B2697" s="30"/>
      <c r="C2697" s="30"/>
      <c r="D2697" s="31"/>
      <c r="E2697" s="35"/>
      <c r="F2697" s="129"/>
    </row>
    <row r="2698" spans="2:6" s="7" customFormat="1" ht="13.5">
      <c r="B2698" s="30"/>
      <c r="C2698" s="30"/>
      <c r="D2698" s="31"/>
      <c r="E2698" s="35"/>
      <c r="F2698" s="129"/>
    </row>
    <row r="2699" spans="2:6" s="7" customFormat="1" ht="13.5">
      <c r="B2699" s="30"/>
      <c r="C2699" s="30"/>
      <c r="D2699" s="31"/>
      <c r="E2699" s="35"/>
      <c r="F2699" s="129"/>
    </row>
    <row r="2700" spans="2:6" s="7" customFormat="1" ht="13.5">
      <c r="B2700" s="30"/>
      <c r="C2700" s="30"/>
      <c r="D2700" s="31"/>
      <c r="E2700" s="35"/>
      <c r="F2700" s="129"/>
    </row>
    <row r="2701" spans="2:6" s="7" customFormat="1" ht="13.5">
      <c r="B2701" s="30"/>
      <c r="C2701" s="30"/>
      <c r="D2701" s="31"/>
      <c r="E2701" s="35"/>
      <c r="F2701" s="129"/>
    </row>
    <row r="2702" spans="2:6" s="7" customFormat="1" ht="13.5">
      <c r="B2702" s="30"/>
      <c r="C2702" s="30"/>
      <c r="D2702" s="31"/>
      <c r="E2702" s="35"/>
      <c r="F2702" s="129"/>
    </row>
    <row r="2703" spans="2:6" s="7" customFormat="1" ht="13.5">
      <c r="B2703" s="30"/>
      <c r="C2703" s="30"/>
      <c r="D2703" s="31"/>
      <c r="E2703" s="35"/>
      <c r="F2703" s="129"/>
    </row>
    <row r="2704" spans="2:6" s="7" customFormat="1" ht="13.5">
      <c r="B2704" s="30"/>
      <c r="C2704" s="30"/>
      <c r="D2704" s="31"/>
      <c r="E2704" s="35"/>
      <c r="F2704" s="129"/>
    </row>
    <row r="2705" spans="2:6" s="7" customFormat="1" ht="13.5">
      <c r="B2705" s="30"/>
      <c r="C2705" s="30"/>
      <c r="D2705" s="31"/>
      <c r="E2705" s="35"/>
      <c r="F2705" s="129"/>
    </row>
    <row r="2706" spans="2:6" s="7" customFormat="1" ht="13.5">
      <c r="B2706" s="30"/>
      <c r="C2706" s="30"/>
      <c r="D2706" s="31"/>
      <c r="E2706" s="35"/>
      <c r="F2706" s="129"/>
    </row>
    <row r="2707" spans="2:6" s="7" customFormat="1" ht="13.5">
      <c r="B2707" s="30"/>
      <c r="C2707" s="30"/>
      <c r="D2707" s="31"/>
      <c r="E2707" s="35"/>
      <c r="F2707" s="129"/>
    </row>
    <row r="2708" spans="2:6" s="7" customFormat="1" ht="13.5">
      <c r="B2708" s="30"/>
      <c r="C2708" s="30"/>
      <c r="D2708" s="31"/>
      <c r="E2708" s="35"/>
      <c r="F2708" s="129"/>
    </row>
    <row r="2709" spans="2:6" s="7" customFormat="1" ht="13.5">
      <c r="B2709" s="30"/>
      <c r="C2709" s="30"/>
      <c r="D2709" s="31"/>
      <c r="E2709" s="35"/>
      <c r="F2709" s="129"/>
    </row>
    <row r="2710" spans="2:6" s="7" customFormat="1" ht="13.5">
      <c r="B2710" s="30"/>
      <c r="C2710" s="30"/>
      <c r="D2710" s="31"/>
      <c r="E2710" s="35"/>
      <c r="F2710" s="129"/>
    </row>
    <row r="2711" spans="2:6" s="7" customFormat="1" ht="13.5">
      <c r="B2711" s="30"/>
      <c r="C2711" s="30"/>
      <c r="D2711" s="31"/>
      <c r="E2711" s="35"/>
      <c r="F2711" s="129"/>
    </row>
    <row r="2712" spans="2:6" s="7" customFormat="1" ht="13.5">
      <c r="B2712" s="30"/>
      <c r="C2712" s="30"/>
      <c r="D2712" s="31"/>
      <c r="E2712" s="35"/>
      <c r="F2712" s="129"/>
    </row>
    <row r="2713" spans="2:6" s="7" customFormat="1" ht="13.5">
      <c r="B2713" s="30"/>
      <c r="C2713" s="30"/>
      <c r="D2713" s="31"/>
      <c r="E2713" s="35"/>
      <c r="F2713" s="129"/>
    </row>
    <row r="2714" spans="2:6" s="7" customFormat="1" ht="13.5">
      <c r="B2714" s="30"/>
      <c r="C2714" s="30"/>
      <c r="D2714" s="31"/>
      <c r="E2714" s="35"/>
      <c r="F2714" s="129"/>
    </row>
    <row r="2715" spans="2:6" s="7" customFormat="1" ht="13.5">
      <c r="B2715" s="30"/>
      <c r="C2715" s="30"/>
      <c r="D2715" s="31"/>
      <c r="E2715" s="35"/>
      <c r="F2715" s="129"/>
    </row>
    <row r="2716" spans="2:6" s="7" customFormat="1" ht="13.5">
      <c r="B2716" s="30"/>
      <c r="C2716" s="30"/>
      <c r="D2716" s="31"/>
      <c r="E2716" s="35"/>
      <c r="F2716" s="129"/>
    </row>
    <row r="2717" spans="2:6" s="7" customFormat="1" ht="13.5">
      <c r="B2717" s="30"/>
      <c r="C2717" s="30"/>
      <c r="D2717" s="31"/>
      <c r="E2717" s="35"/>
      <c r="F2717" s="129"/>
    </row>
    <row r="2718" spans="2:6" s="7" customFormat="1" ht="13.5">
      <c r="B2718" s="30"/>
      <c r="C2718" s="30"/>
      <c r="D2718" s="31"/>
      <c r="E2718" s="35"/>
      <c r="F2718" s="129"/>
    </row>
    <row r="2719" spans="2:6" s="7" customFormat="1" ht="13.5">
      <c r="B2719" s="30"/>
      <c r="C2719" s="30"/>
      <c r="D2719" s="31"/>
      <c r="E2719" s="35"/>
      <c r="F2719" s="129"/>
    </row>
    <row r="2720" spans="2:6" s="7" customFormat="1" ht="13.5">
      <c r="B2720" s="30"/>
      <c r="C2720" s="30"/>
      <c r="D2720" s="31"/>
      <c r="E2720" s="35"/>
      <c r="F2720" s="129"/>
    </row>
    <row r="2721" spans="2:6" s="7" customFormat="1" ht="13.5">
      <c r="B2721" s="30"/>
      <c r="C2721" s="30"/>
      <c r="D2721" s="31"/>
      <c r="E2721" s="35"/>
      <c r="F2721" s="129"/>
    </row>
    <row r="2722" spans="2:6" s="7" customFormat="1" ht="13.5">
      <c r="B2722" s="30"/>
      <c r="C2722" s="30"/>
      <c r="D2722" s="31"/>
      <c r="E2722" s="35"/>
      <c r="F2722" s="129"/>
    </row>
    <row r="2723" spans="2:6" s="7" customFormat="1" ht="13.5">
      <c r="B2723" s="30"/>
      <c r="C2723" s="30"/>
      <c r="D2723" s="31"/>
      <c r="E2723" s="35"/>
      <c r="F2723" s="129"/>
    </row>
    <row r="2724" spans="2:6" s="7" customFormat="1" ht="13.5">
      <c r="B2724" s="30"/>
      <c r="C2724" s="30"/>
      <c r="D2724" s="31"/>
      <c r="E2724" s="35"/>
      <c r="F2724" s="129"/>
    </row>
    <row r="2725" spans="2:6" s="7" customFormat="1" ht="13.5">
      <c r="B2725" s="30"/>
      <c r="C2725" s="30"/>
      <c r="D2725" s="31"/>
      <c r="E2725" s="35"/>
      <c r="F2725" s="129"/>
    </row>
    <row r="2726" spans="2:6" s="7" customFormat="1" ht="13.5">
      <c r="B2726" s="30"/>
      <c r="C2726" s="30"/>
      <c r="D2726" s="31"/>
      <c r="E2726" s="35"/>
      <c r="F2726" s="129"/>
    </row>
    <row r="2727" spans="2:6" s="7" customFormat="1" ht="13.5">
      <c r="B2727" s="30"/>
      <c r="C2727" s="30"/>
      <c r="D2727" s="31"/>
      <c r="E2727" s="35"/>
      <c r="F2727" s="129"/>
    </row>
    <row r="2728" spans="2:6" s="7" customFormat="1" ht="13.5">
      <c r="B2728" s="30"/>
      <c r="C2728" s="30"/>
      <c r="D2728" s="31"/>
      <c r="E2728" s="35"/>
      <c r="F2728" s="129"/>
    </row>
    <row r="2729" spans="2:6" s="7" customFormat="1" ht="13.5">
      <c r="B2729" s="30"/>
      <c r="C2729" s="30"/>
      <c r="D2729" s="31"/>
      <c r="E2729" s="35"/>
      <c r="F2729" s="129"/>
    </row>
    <row r="2730" spans="2:6" s="7" customFormat="1" ht="13.5">
      <c r="B2730" s="30"/>
      <c r="C2730" s="30"/>
      <c r="D2730" s="31"/>
      <c r="E2730" s="35"/>
      <c r="F2730" s="129"/>
    </row>
    <row r="2731" spans="2:6" s="7" customFormat="1" ht="13.5">
      <c r="B2731" s="30"/>
      <c r="C2731" s="30"/>
      <c r="D2731" s="31"/>
      <c r="E2731" s="35"/>
      <c r="F2731" s="129"/>
    </row>
    <row r="2732" spans="2:6" s="7" customFormat="1" ht="13.5">
      <c r="B2732" s="30"/>
      <c r="C2732" s="30"/>
      <c r="D2732" s="31"/>
      <c r="E2732" s="35"/>
      <c r="F2732" s="129"/>
    </row>
    <row r="2733" spans="2:6" s="7" customFormat="1" ht="13.5">
      <c r="B2733" s="30"/>
      <c r="C2733" s="30"/>
      <c r="D2733" s="31"/>
      <c r="E2733" s="35"/>
      <c r="F2733" s="129"/>
    </row>
    <row r="2734" spans="2:6" s="7" customFormat="1" ht="13.5">
      <c r="B2734" s="30"/>
      <c r="C2734" s="30"/>
      <c r="D2734" s="31"/>
      <c r="E2734" s="35"/>
      <c r="F2734" s="129"/>
    </row>
    <row r="2735" spans="2:6" s="7" customFormat="1" ht="13.5">
      <c r="B2735" s="30"/>
      <c r="C2735" s="30"/>
      <c r="D2735" s="31"/>
      <c r="E2735" s="35"/>
      <c r="F2735" s="129"/>
    </row>
    <row r="2736" spans="2:6" s="7" customFormat="1" ht="13.5">
      <c r="B2736" s="30"/>
      <c r="C2736" s="30"/>
      <c r="D2736" s="31"/>
      <c r="E2736" s="35"/>
      <c r="F2736" s="129"/>
    </row>
    <row r="2737" spans="2:6" s="7" customFormat="1" ht="13.5">
      <c r="B2737" s="30"/>
      <c r="C2737" s="30"/>
      <c r="D2737" s="31"/>
      <c r="E2737" s="35"/>
      <c r="F2737" s="129"/>
    </row>
    <row r="2738" spans="2:6" s="7" customFormat="1" ht="13.5">
      <c r="B2738" s="30"/>
      <c r="C2738" s="30"/>
      <c r="D2738" s="31"/>
      <c r="E2738" s="35"/>
      <c r="F2738" s="129"/>
    </row>
    <row r="2739" spans="2:6" s="7" customFormat="1" ht="13.5">
      <c r="B2739" s="30"/>
      <c r="C2739" s="30"/>
      <c r="D2739" s="31"/>
      <c r="E2739" s="35"/>
      <c r="F2739" s="129"/>
    </row>
    <row r="2740" spans="2:6" s="7" customFormat="1" ht="13.5">
      <c r="B2740" s="30"/>
      <c r="C2740" s="30"/>
      <c r="D2740" s="31"/>
      <c r="E2740" s="35"/>
      <c r="F2740" s="129"/>
    </row>
    <row r="2741" spans="2:6" s="7" customFormat="1" ht="13.5">
      <c r="B2741" s="30"/>
      <c r="C2741" s="30"/>
      <c r="D2741" s="31"/>
      <c r="E2741" s="35"/>
      <c r="F2741" s="129"/>
    </row>
    <row r="2742" spans="2:6" s="7" customFormat="1" ht="13.5">
      <c r="B2742" s="30"/>
      <c r="C2742" s="30"/>
      <c r="D2742" s="31"/>
      <c r="E2742" s="35"/>
      <c r="F2742" s="129"/>
    </row>
    <row r="2743" spans="2:6" s="7" customFormat="1" ht="13.5">
      <c r="B2743" s="30"/>
      <c r="C2743" s="30"/>
      <c r="D2743" s="31"/>
      <c r="E2743" s="35"/>
      <c r="F2743" s="129"/>
    </row>
    <row r="2744" spans="2:6" s="7" customFormat="1" ht="13.5">
      <c r="B2744" s="30"/>
      <c r="C2744" s="30"/>
      <c r="D2744" s="31"/>
      <c r="E2744" s="35"/>
      <c r="F2744" s="129"/>
    </row>
    <row r="2745" spans="2:6" s="7" customFormat="1" ht="13.5">
      <c r="B2745" s="30"/>
      <c r="C2745" s="30"/>
      <c r="D2745" s="31"/>
      <c r="E2745" s="35"/>
      <c r="F2745" s="129"/>
    </row>
    <row r="2746" spans="2:6" s="7" customFormat="1" ht="13.5">
      <c r="B2746" s="30"/>
      <c r="C2746" s="30"/>
      <c r="D2746" s="31"/>
      <c r="E2746" s="35"/>
      <c r="F2746" s="129"/>
    </row>
    <row r="2747" spans="2:6" s="7" customFormat="1" ht="13.5">
      <c r="B2747" s="30"/>
      <c r="C2747" s="30"/>
      <c r="D2747" s="31"/>
      <c r="E2747" s="35"/>
      <c r="F2747" s="129"/>
    </row>
    <row r="2748" spans="2:6" s="7" customFormat="1" ht="13.5">
      <c r="B2748" s="30"/>
      <c r="C2748" s="30"/>
      <c r="D2748" s="31"/>
      <c r="E2748" s="35"/>
      <c r="F2748" s="129"/>
    </row>
    <row r="2749" spans="2:6" s="7" customFormat="1" ht="13.5">
      <c r="B2749" s="30"/>
      <c r="C2749" s="30"/>
      <c r="D2749" s="31"/>
      <c r="E2749" s="35"/>
      <c r="F2749" s="129"/>
    </row>
    <row r="2750" spans="2:6" s="7" customFormat="1" ht="13.5">
      <c r="B2750" s="30"/>
      <c r="C2750" s="30"/>
      <c r="D2750" s="31"/>
      <c r="E2750" s="35"/>
      <c r="F2750" s="129"/>
    </row>
    <row r="2751" spans="2:6" s="7" customFormat="1" ht="13.5">
      <c r="B2751" s="30"/>
      <c r="C2751" s="30"/>
      <c r="D2751" s="31"/>
      <c r="E2751" s="35"/>
      <c r="F2751" s="129"/>
    </row>
    <row r="2752" spans="2:6" s="7" customFormat="1" ht="13.5">
      <c r="B2752" s="30"/>
      <c r="C2752" s="30"/>
      <c r="D2752" s="31"/>
      <c r="E2752" s="35"/>
      <c r="F2752" s="129"/>
    </row>
    <row r="2753" spans="2:6" s="7" customFormat="1" ht="13.5">
      <c r="B2753" s="30"/>
      <c r="C2753" s="30"/>
      <c r="D2753" s="31"/>
      <c r="E2753" s="35"/>
      <c r="F2753" s="129"/>
    </row>
    <row r="2754" spans="2:6" s="7" customFormat="1" ht="13.5">
      <c r="B2754" s="30"/>
      <c r="C2754" s="30"/>
      <c r="D2754" s="31"/>
      <c r="E2754" s="35"/>
      <c r="F2754" s="129"/>
    </row>
    <row r="2755" spans="2:6" s="7" customFormat="1" ht="13.5">
      <c r="B2755" s="30"/>
      <c r="C2755" s="30"/>
      <c r="D2755" s="31"/>
      <c r="E2755" s="35"/>
      <c r="F2755" s="129"/>
    </row>
    <row r="2756" spans="2:6" s="7" customFormat="1" ht="13.5">
      <c r="B2756" s="30"/>
      <c r="C2756" s="30"/>
      <c r="D2756" s="31"/>
      <c r="E2756" s="35"/>
      <c r="F2756" s="129"/>
    </row>
    <row r="2757" spans="2:6" s="7" customFormat="1" ht="13.5">
      <c r="B2757" s="30"/>
      <c r="C2757" s="30"/>
      <c r="D2757" s="31"/>
      <c r="E2757" s="35"/>
      <c r="F2757" s="129"/>
    </row>
    <row r="2758" spans="2:6" s="7" customFormat="1" ht="13.5">
      <c r="B2758" s="30"/>
      <c r="C2758" s="30"/>
      <c r="D2758" s="31"/>
      <c r="E2758" s="35"/>
      <c r="F2758" s="129"/>
    </row>
    <row r="2759" spans="2:6" s="7" customFormat="1" ht="13.5">
      <c r="B2759" s="30"/>
      <c r="C2759" s="30"/>
      <c r="D2759" s="31"/>
      <c r="E2759" s="35"/>
      <c r="F2759" s="129"/>
    </row>
    <row r="2760" spans="2:6" s="7" customFormat="1" ht="13.5">
      <c r="B2760" s="30"/>
      <c r="C2760" s="30"/>
      <c r="D2760" s="31"/>
      <c r="E2760" s="35"/>
      <c r="F2760" s="129"/>
    </row>
    <row r="2761" spans="2:6" s="7" customFormat="1" ht="13.5">
      <c r="B2761" s="30"/>
      <c r="C2761" s="30"/>
      <c r="D2761" s="31"/>
      <c r="E2761" s="35"/>
      <c r="F2761" s="129"/>
    </row>
    <row r="2762" spans="2:6" s="7" customFormat="1" ht="13.5">
      <c r="B2762" s="30"/>
      <c r="C2762" s="30"/>
      <c r="D2762" s="31"/>
      <c r="E2762" s="35"/>
      <c r="F2762" s="129"/>
    </row>
    <row r="2763" spans="2:6" s="7" customFormat="1" ht="13.5">
      <c r="B2763" s="30"/>
      <c r="C2763" s="30"/>
      <c r="D2763" s="31"/>
      <c r="E2763" s="35"/>
      <c r="F2763" s="129"/>
    </row>
    <row r="2764" spans="2:6" s="7" customFormat="1" ht="13.5">
      <c r="B2764" s="30"/>
      <c r="C2764" s="30"/>
      <c r="D2764" s="31"/>
      <c r="E2764" s="35"/>
      <c r="F2764" s="129"/>
    </row>
    <row r="2765" spans="2:6" s="7" customFormat="1" ht="13.5">
      <c r="B2765" s="30"/>
      <c r="C2765" s="30"/>
      <c r="D2765" s="31"/>
      <c r="E2765" s="35"/>
      <c r="F2765" s="129"/>
    </row>
    <row r="2766" spans="2:6" s="7" customFormat="1" ht="13.5">
      <c r="B2766" s="30"/>
      <c r="C2766" s="30"/>
      <c r="D2766" s="31"/>
      <c r="E2766" s="35"/>
      <c r="F2766" s="129"/>
    </row>
    <row r="2767" spans="2:6" s="7" customFormat="1" ht="13.5">
      <c r="B2767" s="30"/>
      <c r="C2767" s="30"/>
      <c r="D2767" s="31"/>
      <c r="E2767" s="35"/>
      <c r="F2767" s="129"/>
    </row>
    <row r="2768" spans="2:6" s="7" customFormat="1" ht="13.5">
      <c r="B2768" s="30"/>
      <c r="C2768" s="30"/>
      <c r="D2768" s="31"/>
      <c r="E2768" s="35"/>
      <c r="F2768" s="129"/>
    </row>
    <row r="2769" spans="2:6" s="7" customFormat="1" ht="13.5">
      <c r="B2769" s="30"/>
      <c r="C2769" s="30"/>
      <c r="D2769" s="31"/>
      <c r="E2769" s="35"/>
      <c r="F2769" s="129"/>
    </row>
    <row r="2770" spans="1:5" ht="13.5">
      <c r="A2770" s="7"/>
      <c r="B2770" s="30"/>
      <c r="C2770" s="30"/>
      <c r="D2770" s="31"/>
      <c r="E2770" s="35"/>
    </row>
    <row r="2771" spans="1:5" ht="13.5">
      <c r="A2771" s="7"/>
      <c r="B2771" s="30"/>
      <c r="C2771" s="30"/>
      <c r="D2771" s="31"/>
      <c r="E2771" s="35"/>
    </row>
    <row r="2772" spans="1:5" ht="13.5">
      <c r="A2772" s="7"/>
      <c r="B2772" s="30"/>
      <c r="C2772" s="30"/>
      <c r="D2772" s="31"/>
      <c r="E2772" s="35"/>
    </row>
    <row r="2773" spans="1:5" ht="13.5">
      <c r="A2773" s="7"/>
      <c r="B2773" s="30"/>
      <c r="C2773" s="30"/>
      <c r="D2773" s="31"/>
      <c r="E2773" s="35"/>
    </row>
    <row r="2774" spans="1:5" ht="13.5">
      <c r="A2774" s="7"/>
      <c r="B2774" s="30"/>
      <c r="C2774" s="30"/>
      <c r="D2774" s="31"/>
      <c r="E2774" s="35"/>
    </row>
    <row r="2775" spans="1:5" ht="13.5">
      <c r="A2775" s="7"/>
      <c r="B2775" s="30"/>
      <c r="C2775" s="30"/>
      <c r="D2775" s="31"/>
      <c r="E2775" s="35"/>
    </row>
    <row r="2776" spans="1:5" ht="13.5">
      <c r="A2776" s="7"/>
      <c r="B2776" s="30"/>
      <c r="C2776" s="30"/>
      <c r="D2776" s="31"/>
      <c r="E2776" s="35"/>
    </row>
    <row r="2777" spans="1:5" ht="13.5">
      <c r="A2777" s="7"/>
      <c r="B2777" s="30"/>
      <c r="C2777" s="30"/>
      <c r="D2777" s="31"/>
      <c r="E2777" s="35"/>
    </row>
    <row r="2778" spans="1:5" ht="13.5">
      <c r="A2778" s="7"/>
      <c r="B2778" s="30"/>
      <c r="C2778" s="30"/>
      <c r="D2778" s="31"/>
      <c r="E2778" s="35"/>
    </row>
    <row r="2779" spans="1:5" ht="13.5">
      <c r="A2779" s="7"/>
      <c r="B2779" s="30"/>
      <c r="C2779" s="30"/>
      <c r="D2779" s="31"/>
      <c r="E2779" s="35"/>
    </row>
    <row r="2780" spans="1:5" ht="13.5">
      <c r="A2780" s="7"/>
      <c r="B2780" s="30"/>
      <c r="C2780" s="30"/>
      <c r="D2780" s="31"/>
      <c r="E2780" s="35"/>
    </row>
    <row r="2781" spans="1:5" ht="13.5">
      <c r="A2781" s="7"/>
      <c r="B2781" s="30"/>
      <c r="C2781" s="30"/>
      <c r="D2781" s="31"/>
      <c r="E2781" s="35"/>
    </row>
    <row r="2782" spans="1:5" ht="13.5">
      <c r="A2782" s="7"/>
      <c r="B2782" s="30"/>
      <c r="C2782" s="30"/>
      <c r="D2782" s="31"/>
      <c r="E2782" s="35"/>
    </row>
    <row r="2783" spans="1:5" ht="13.5">
      <c r="A2783" s="7"/>
      <c r="B2783" s="30"/>
      <c r="C2783" s="30"/>
      <c r="D2783" s="31"/>
      <c r="E2783" s="35"/>
    </row>
    <row r="2784" spans="1:5" ht="13.5">
      <c r="A2784" s="7"/>
      <c r="B2784" s="30"/>
      <c r="C2784" s="30"/>
      <c r="D2784" s="31"/>
      <c r="E2784" s="35"/>
    </row>
    <row r="2785" spans="1:5" ht="13.5">
      <c r="A2785" s="7"/>
      <c r="B2785" s="30"/>
      <c r="C2785" s="30"/>
      <c r="D2785" s="31"/>
      <c r="E2785" s="35"/>
    </row>
    <row r="2786" spans="1:5" ht="13.5">
      <c r="A2786" s="7"/>
      <c r="B2786" s="30"/>
      <c r="C2786" s="30"/>
      <c r="D2786" s="31"/>
      <c r="E2786" s="35"/>
    </row>
    <row r="2787" spans="1:5" ht="13.5">
      <c r="A2787" s="7"/>
      <c r="B2787" s="30"/>
      <c r="C2787" s="30"/>
      <c r="D2787" s="31"/>
      <c r="E2787" s="35"/>
    </row>
    <row r="2788" spans="1:5" ht="13.5">
      <c r="A2788" s="7"/>
      <c r="B2788" s="30"/>
      <c r="C2788" s="30"/>
      <c r="D2788" s="31"/>
      <c r="E2788" s="35"/>
    </row>
    <row r="2789" spans="1:5" ht="13.5">
      <c r="A2789" s="7"/>
      <c r="B2789" s="30"/>
      <c r="C2789" s="30"/>
      <c r="D2789" s="31"/>
      <c r="E2789" s="35"/>
    </row>
    <row r="2790" spans="1:5" ht="13.5">
      <c r="A2790" s="7"/>
      <c r="B2790" s="30"/>
      <c r="C2790" s="30"/>
      <c r="D2790" s="31"/>
      <c r="E2790" s="35"/>
    </row>
    <row r="2791" spans="1:5" ht="13.5">
      <c r="A2791" s="7"/>
      <c r="B2791" s="30"/>
      <c r="C2791" s="30"/>
      <c r="D2791" s="31"/>
      <c r="E2791" s="35"/>
    </row>
    <row r="2792" spans="1:5" ht="13.5">
      <c r="A2792" s="7"/>
      <c r="B2792" s="30"/>
      <c r="C2792" s="30"/>
      <c r="D2792" s="31"/>
      <c r="E2792" s="35"/>
    </row>
    <row r="2793" spans="1:5" ht="13.5">
      <c r="A2793" s="7"/>
      <c r="B2793" s="30"/>
      <c r="C2793" s="30"/>
      <c r="D2793" s="31"/>
      <c r="E2793" s="35"/>
    </row>
    <row r="2794" spans="1:5" ht="13.5">
      <c r="A2794" s="7"/>
      <c r="B2794" s="30"/>
      <c r="C2794" s="30"/>
      <c r="D2794" s="31"/>
      <c r="E2794" s="35"/>
    </row>
    <row r="2795" spans="1:5" ht="13.5">
      <c r="A2795" s="7"/>
      <c r="B2795" s="30"/>
      <c r="C2795" s="30"/>
      <c r="D2795" s="31"/>
      <c r="E2795" s="35"/>
    </row>
    <row r="2796" spans="1:5" ht="13.5">
      <c r="A2796" s="7"/>
      <c r="B2796" s="30"/>
      <c r="C2796" s="30"/>
      <c r="D2796" s="31"/>
      <c r="E2796" s="35"/>
    </row>
    <row r="2797" spans="1:5" ht="13.5">
      <c r="A2797" s="7"/>
      <c r="B2797" s="30"/>
      <c r="C2797" s="30"/>
      <c r="D2797" s="31"/>
      <c r="E2797" s="35"/>
    </row>
    <row r="2798" spans="1:5" ht="13.5">
      <c r="A2798" s="7"/>
      <c r="B2798" s="30"/>
      <c r="C2798" s="30"/>
      <c r="D2798" s="31"/>
      <c r="E2798" s="35"/>
    </row>
    <row r="2799" spans="1:5" ht="13.5">
      <c r="A2799" s="7"/>
      <c r="B2799" s="30"/>
      <c r="C2799" s="30"/>
      <c r="D2799" s="31"/>
      <c r="E2799" s="35"/>
    </row>
    <row r="2800" spans="1:5" ht="13.5">
      <c r="A2800" s="7"/>
      <c r="B2800" s="30"/>
      <c r="C2800" s="30"/>
      <c r="D2800" s="31"/>
      <c r="E2800" s="35"/>
    </row>
    <row r="2801" spans="1:5" ht="13.5">
      <c r="A2801" s="7"/>
      <c r="B2801" s="30"/>
      <c r="C2801" s="30"/>
      <c r="D2801" s="31"/>
      <c r="E2801" s="35"/>
    </row>
    <row r="2802" spans="1:5" ht="13.5">
      <c r="A2802" s="7"/>
      <c r="B2802" s="30"/>
      <c r="C2802" s="30"/>
      <c r="D2802" s="31"/>
      <c r="E2802" s="35"/>
    </row>
    <row r="2803" spans="1:5" ht="13.5">
      <c r="A2803" s="7"/>
      <c r="B2803" s="30"/>
      <c r="C2803" s="30"/>
      <c r="D2803" s="31"/>
      <c r="E2803" s="35"/>
    </row>
    <row r="2804" spans="1:5" ht="13.5">
      <c r="A2804" s="7"/>
      <c r="B2804" s="30"/>
      <c r="C2804" s="30"/>
      <c r="D2804" s="31"/>
      <c r="E2804" s="35"/>
    </row>
  </sheetData>
  <sheetProtection/>
  <mergeCells count="13">
    <mergeCell ref="A156:B156"/>
    <mergeCell ref="A167:B167"/>
    <mergeCell ref="A178:B178"/>
    <mergeCell ref="A19:B19"/>
    <mergeCell ref="A42:B42"/>
    <mergeCell ref="A59:B59"/>
    <mergeCell ref="A76:B76"/>
    <mergeCell ref="A204:B204"/>
    <mergeCell ref="A210:B210"/>
    <mergeCell ref="A105:B105"/>
    <mergeCell ref="A118:B118"/>
    <mergeCell ref="A136:B136"/>
    <mergeCell ref="A198:B198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 scaleWithDoc="0" alignWithMargins="0">
    <oddHeader>&amp;L&amp;"Arial Narrow,Normal"&amp;8Presupuesto Municipal 2016
&amp;"Arial,Normal"&amp;10
&amp;R&amp;"Arial Narrow,Normal"&amp;8MUNICIPALIDAD DE VILLA MARÍA
Secretaría de Economía y Administración</oddHeader>
    <oddFooter>&amp;C&amp;"Arial Narrow,Normal"&amp;8Departamento Ejecutivo
Página &amp;P de &amp;N</oddFooter>
  </headerFooter>
  <rowBreaks count="2" manualBreakCount="2">
    <brk id="91" max="255" man="1"/>
    <brk id="1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9.7109375" style="3" customWidth="1"/>
    <col min="2" max="2" width="43.7109375" style="3" customWidth="1"/>
    <col min="3" max="3" width="12.7109375" style="19" customWidth="1"/>
    <col min="4" max="4" width="10.7109375" style="19" customWidth="1"/>
    <col min="5" max="5" width="11.00390625" style="19" customWidth="1"/>
    <col min="6" max="6" width="18.140625" style="658" customWidth="1"/>
    <col min="7" max="7" width="15.421875" style="3" customWidth="1"/>
    <col min="8" max="16384" width="11.421875" style="3" customWidth="1"/>
  </cols>
  <sheetData>
    <row r="1" spans="1:7" ht="12.75">
      <c r="A1" s="110" t="s">
        <v>1454</v>
      </c>
      <c r="C1" s="654"/>
      <c r="D1" s="15"/>
      <c r="E1" s="15"/>
      <c r="F1" s="655"/>
      <c r="G1" s="1"/>
    </row>
    <row r="2" spans="1:7" ht="12.75">
      <c r="A2" s="110"/>
      <c r="B2" s="656"/>
      <c r="C2" s="17"/>
      <c r="D2" s="17"/>
      <c r="E2" s="15"/>
      <c r="F2" s="655"/>
      <c r="G2" s="1"/>
    </row>
    <row r="3" spans="1:3" ht="14.25" thickBot="1">
      <c r="A3" s="110"/>
      <c r="C3" s="657"/>
    </row>
    <row r="4" spans="1:5" ht="12.75">
      <c r="A4" s="64" t="s">
        <v>1453</v>
      </c>
      <c r="B4" s="221"/>
      <c r="C4" s="65"/>
      <c r="D4" s="67" t="s">
        <v>6</v>
      </c>
      <c r="E4" s="516" t="s">
        <v>1433</v>
      </c>
    </row>
    <row r="5" spans="1:5" ht="13.5" thickBot="1">
      <c r="A5" s="45"/>
      <c r="B5" s="820"/>
      <c r="C5" s="172"/>
      <c r="D5" s="447"/>
      <c r="E5" s="542"/>
    </row>
    <row r="6" spans="1:6" s="1" customFormat="1" ht="13.5">
      <c r="A6" s="907" t="s">
        <v>1442</v>
      </c>
      <c r="B6" s="908"/>
      <c r="C6" s="909"/>
      <c r="D6" s="909"/>
      <c r="E6" s="910"/>
      <c r="F6" s="655"/>
    </row>
    <row r="7" spans="1:6" s="1" customFormat="1" ht="13.5">
      <c r="A7" s="911" t="s">
        <v>1434</v>
      </c>
      <c r="B7" s="912"/>
      <c r="C7" s="913"/>
      <c r="D7" s="913"/>
      <c r="E7" s="914"/>
      <c r="F7" s="655"/>
    </row>
    <row r="8" spans="1:6" s="1" customFormat="1" ht="13.5">
      <c r="A8" s="911" t="s">
        <v>1452</v>
      </c>
      <c r="B8" s="912"/>
      <c r="C8" s="913"/>
      <c r="D8" s="913"/>
      <c r="E8" s="914"/>
      <c r="F8" s="655"/>
    </row>
    <row r="9" spans="1:6" s="1" customFormat="1" ht="13.5">
      <c r="A9" s="911" t="s">
        <v>1451</v>
      </c>
      <c r="B9" s="912"/>
      <c r="C9" s="913"/>
      <c r="D9" s="913"/>
      <c r="E9" s="914"/>
      <c r="F9" s="655"/>
    </row>
    <row r="10" spans="1:6" s="1" customFormat="1" ht="13.5">
      <c r="A10" s="911" t="s">
        <v>1435</v>
      </c>
      <c r="B10" s="912"/>
      <c r="C10" s="913"/>
      <c r="D10" s="913"/>
      <c r="E10" s="915"/>
      <c r="F10" s="655"/>
    </row>
    <row r="11" spans="1:6" s="1" customFormat="1" ht="13.5">
      <c r="A11" s="911" t="s">
        <v>1443</v>
      </c>
      <c r="B11" s="912"/>
      <c r="C11" s="913"/>
      <c r="D11" s="913"/>
      <c r="E11" s="915"/>
      <c r="F11" s="655"/>
    </row>
    <row r="12" spans="1:6" s="1" customFormat="1" ht="13.5">
      <c r="A12" s="911" t="s">
        <v>1444</v>
      </c>
      <c r="B12" s="912"/>
      <c r="C12" s="913"/>
      <c r="D12" s="913"/>
      <c r="E12" s="914"/>
      <c r="F12" s="655"/>
    </row>
    <row r="13" spans="1:6" s="1" customFormat="1" ht="13.5">
      <c r="A13" s="911" t="s">
        <v>1445</v>
      </c>
      <c r="B13" s="912"/>
      <c r="C13" s="913"/>
      <c r="D13" s="913"/>
      <c r="E13" s="914"/>
      <c r="F13" s="655"/>
    </row>
    <row r="14" spans="1:6" s="1" customFormat="1" ht="13.5">
      <c r="A14" s="911" t="s">
        <v>1446</v>
      </c>
      <c r="B14" s="912"/>
      <c r="C14" s="913"/>
      <c r="D14" s="913"/>
      <c r="E14" s="914"/>
      <c r="F14" s="655"/>
    </row>
    <row r="15" spans="1:5" s="1" customFormat="1" ht="13.5">
      <c r="A15" s="911" t="s">
        <v>1436</v>
      </c>
      <c r="B15" s="912"/>
      <c r="C15" s="913"/>
      <c r="D15" s="913"/>
      <c r="E15" s="914"/>
    </row>
    <row r="16" spans="1:5" s="1" customFormat="1" ht="13.5">
      <c r="A16" s="911" t="s">
        <v>1456</v>
      </c>
      <c r="B16" s="912"/>
      <c r="C16" s="913"/>
      <c r="D16" s="913"/>
      <c r="E16" s="914"/>
    </row>
    <row r="17" spans="1:5" s="1" customFormat="1" ht="13.5">
      <c r="A17" s="911" t="s">
        <v>1437</v>
      </c>
      <c r="B17" s="912"/>
      <c r="C17" s="913"/>
      <c r="D17" s="913"/>
      <c r="E17" s="914"/>
    </row>
    <row r="18" spans="1:6" s="1" customFormat="1" ht="13.5">
      <c r="A18" s="911" t="s">
        <v>1438</v>
      </c>
      <c r="B18" s="912"/>
      <c r="C18" s="913"/>
      <c r="D18" s="916"/>
      <c r="E18" s="917"/>
      <c r="F18" s="655"/>
    </row>
    <row r="19" spans="1:6" s="1" customFormat="1" ht="13.5">
      <c r="A19" s="911" t="s">
        <v>1439</v>
      </c>
      <c r="B19" s="912"/>
      <c r="C19" s="913"/>
      <c r="D19" s="913"/>
      <c r="E19" s="914"/>
      <c r="F19" s="655"/>
    </row>
    <row r="20" spans="1:6" s="1" customFormat="1" ht="13.5">
      <c r="A20" s="911" t="s">
        <v>1447</v>
      </c>
      <c r="B20" s="912"/>
      <c r="C20" s="913"/>
      <c r="D20" s="913"/>
      <c r="E20" s="914"/>
      <c r="F20" s="655"/>
    </row>
    <row r="21" spans="1:6" s="1" customFormat="1" ht="13.5">
      <c r="A21" s="911" t="s">
        <v>1449</v>
      </c>
      <c r="B21" s="912"/>
      <c r="C21" s="913"/>
      <c r="D21" s="913"/>
      <c r="E21" s="914"/>
      <c r="F21" s="655"/>
    </row>
    <row r="22" spans="1:6" s="1" customFormat="1" ht="13.5">
      <c r="A22" s="911" t="s">
        <v>1450</v>
      </c>
      <c r="B22" s="912"/>
      <c r="C22" s="913"/>
      <c r="D22" s="913"/>
      <c r="E22" s="914"/>
      <c r="F22" s="655"/>
    </row>
    <row r="23" spans="1:6" s="1" customFormat="1" ht="13.5">
      <c r="A23" s="911" t="s">
        <v>1440</v>
      </c>
      <c r="B23" s="912"/>
      <c r="C23" s="913"/>
      <c r="D23" s="913"/>
      <c r="E23" s="914"/>
      <c r="F23" s="657"/>
    </row>
    <row r="24" spans="1:6" s="1" customFormat="1" ht="13.5">
      <c r="A24" s="918" t="s">
        <v>1448</v>
      </c>
      <c r="B24" s="912"/>
      <c r="C24" s="913"/>
      <c r="D24" s="913"/>
      <c r="E24" s="914"/>
      <c r="F24" s="657"/>
    </row>
    <row r="25" spans="1:6" s="1" customFormat="1" ht="13.5">
      <c r="A25" s="918" t="s">
        <v>1441</v>
      </c>
      <c r="B25" s="912"/>
      <c r="C25" s="913"/>
      <c r="D25" s="913"/>
      <c r="E25" s="914"/>
      <c r="F25" s="657"/>
    </row>
    <row r="26" spans="1:6" s="1" customFormat="1" ht="14.25" thickBot="1">
      <c r="A26" s="919"/>
      <c r="B26" s="920"/>
      <c r="C26" s="921"/>
      <c r="D26" s="921"/>
      <c r="E26" s="922"/>
      <c r="F26" s="657"/>
    </row>
    <row r="27" spans="1:6" s="1" customFormat="1" ht="13.5">
      <c r="A27" s="52" t="s">
        <v>1365</v>
      </c>
      <c r="B27" s="13"/>
      <c r="C27" s="25"/>
      <c r="D27" s="25"/>
      <c r="E27" s="453"/>
      <c r="F27" s="655"/>
    </row>
    <row r="28" spans="1:6" s="1" customFormat="1" ht="13.5">
      <c r="A28" s="52" t="s">
        <v>1455</v>
      </c>
      <c r="B28" s="13"/>
      <c r="C28" s="25"/>
      <c r="D28" s="25"/>
      <c r="E28" s="453"/>
      <c r="F28" s="655"/>
    </row>
    <row r="29" spans="1:6" s="1" customFormat="1" ht="13.5">
      <c r="A29" s="52" t="s">
        <v>1421</v>
      </c>
      <c r="B29" s="13"/>
      <c r="C29" s="25"/>
      <c r="D29" s="25"/>
      <c r="E29" s="453"/>
      <c r="F29" s="655"/>
    </row>
    <row r="30" spans="1:6" s="1" customFormat="1" ht="14.25" thickBot="1">
      <c r="A30" s="111" t="s">
        <v>16</v>
      </c>
      <c r="B30" s="196"/>
      <c r="C30" s="556"/>
      <c r="D30" s="556"/>
      <c r="E30" s="557"/>
      <c r="F30" s="655"/>
    </row>
    <row r="31" spans="1:7" s="1" customFormat="1" ht="14.25" thickBot="1">
      <c r="A31" s="54"/>
      <c r="B31" s="192"/>
      <c r="C31" s="55"/>
      <c r="D31" s="191"/>
      <c r="E31" s="161"/>
      <c r="F31" s="655"/>
      <c r="G31" s="15"/>
    </row>
    <row r="32" spans="1:6" ht="13.5">
      <c r="A32" s="110"/>
      <c r="E32" s="547"/>
      <c r="F32" s="547"/>
    </row>
    <row r="33" spans="1:4" ht="13.5">
      <c r="A33" s="107"/>
      <c r="B33" s="107"/>
      <c r="D33" s="3"/>
    </row>
    <row r="34" spans="1:5" ht="12.75">
      <c r="A34" s="5"/>
      <c r="B34" s="5"/>
      <c r="C34" s="22"/>
      <c r="D34" s="22"/>
      <c r="E34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 Narrow,Normal"&amp;8Presupuesto Municipal 2016&amp;R&amp;"Arial Narrow,Normal"&amp;8MUNICIPALIDAD VILLA MARÍA
Secretaría de Economía y Administración</oddHeader>
    <oddFooter>&amp;C&amp;"Arial Narrow,Normal"&amp;8Gabinete de los Niños
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0"/>
  <sheetViews>
    <sheetView workbookViewId="0" topLeftCell="A81">
      <selection activeCell="G99" sqref="G99"/>
    </sheetView>
  </sheetViews>
  <sheetFormatPr defaultColWidth="11.421875" defaultRowHeight="12.75"/>
  <cols>
    <col min="1" max="1" width="9.7109375" style="567" customWidth="1"/>
    <col min="2" max="2" width="46.7109375" style="716" customWidth="1"/>
    <col min="3" max="3" width="12.7109375" style="664" customWidth="1"/>
    <col min="4" max="4" width="10.7109375" style="717" customWidth="1"/>
    <col min="5" max="5" width="13.7109375" style="708" customWidth="1"/>
    <col min="6" max="6" width="12.7109375" style="711" customWidth="1"/>
    <col min="7" max="10" width="12.7109375" style="710" customWidth="1"/>
    <col min="11" max="16384" width="11.421875" style="4" customWidth="1"/>
  </cols>
  <sheetData>
    <row r="1" spans="1:10" s="683" customFormat="1" ht="12.75" customHeight="1">
      <c r="A1" s="262" t="s">
        <v>1040</v>
      </c>
      <c r="B1" s="677"/>
      <c r="C1" s="678"/>
      <c r="D1" s="679"/>
      <c r="E1" s="680"/>
      <c r="F1" s="681"/>
      <c r="G1" s="682"/>
      <c r="H1" s="682"/>
      <c r="I1" s="682"/>
      <c r="J1" s="682"/>
    </row>
    <row r="2" spans="1:10" s="683" customFormat="1" ht="12.75" customHeight="1" thickBot="1">
      <c r="A2" s="684"/>
      <c r="B2" s="677"/>
      <c r="C2" s="678"/>
      <c r="D2" s="679"/>
      <c r="E2" s="680"/>
      <c r="F2" s="681"/>
      <c r="G2" s="682"/>
      <c r="H2" s="682"/>
      <c r="I2" s="682"/>
      <c r="J2" s="682"/>
    </row>
    <row r="3" spans="1:6" s="14" customFormat="1" ht="13.5" customHeight="1">
      <c r="A3" s="64" t="s">
        <v>1041</v>
      </c>
      <c r="B3" s="220"/>
      <c r="C3" s="65"/>
      <c r="D3" s="219" t="s">
        <v>6</v>
      </c>
      <c r="E3" s="218">
        <v>1901</v>
      </c>
      <c r="F3" s="302"/>
    </row>
    <row r="4" spans="1:6" s="14" customFormat="1" ht="13.5" customHeight="1" thickBot="1">
      <c r="A4" s="49"/>
      <c r="B4" s="685"/>
      <c r="C4" s="119"/>
      <c r="D4" s="217"/>
      <c r="E4" s="216"/>
      <c r="F4" s="302"/>
    </row>
    <row r="5" spans="1:6" s="14" customFormat="1" ht="13.5" customHeight="1">
      <c r="A5" s="45" t="s">
        <v>1042</v>
      </c>
      <c r="B5" s="207"/>
      <c r="C5" s="25"/>
      <c r="D5" s="306"/>
      <c r="E5" s="197"/>
      <c r="F5" s="302"/>
    </row>
    <row r="6" spans="1:6" s="14" customFormat="1" ht="13.5" customHeight="1">
      <c r="A6" s="45" t="s">
        <v>1043</v>
      </c>
      <c r="B6" s="207"/>
      <c r="C6" s="25"/>
      <c r="D6" s="306"/>
      <c r="E6" s="197"/>
      <c r="F6" s="302"/>
    </row>
    <row r="7" spans="1:6" s="14" customFormat="1" ht="13.5" customHeight="1">
      <c r="A7" s="45" t="s">
        <v>1044</v>
      </c>
      <c r="B7" s="207"/>
      <c r="C7" s="172"/>
      <c r="D7" s="211"/>
      <c r="E7" s="212"/>
      <c r="F7" s="302"/>
    </row>
    <row r="8" spans="1:6" s="14" customFormat="1" ht="13.5" customHeight="1">
      <c r="A8" s="45" t="s">
        <v>1045</v>
      </c>
      <c r="B8" s="207"/>
      <c r="C8" s="172"/>
      <c r="D8" s="211"/>
      <c r="E8" s="212"/>
      <c r="F8" s="302"/>
    </row>
    <row r="9" spans="1:6" s="14" customFormat="1" ht="13.5" customHeight="1">
      <c r="A9" s="45" t="s">
        <v>1046</v>
      </c>
      <c r="B9" s="207"/>
      <c r="C9" s="172"/>
      <c r="D9" s="211"/>
      <c r="E9" s="212"/>
      <c r="F9" s="302"/>
    </row>
    <row r="10" spans="1:6" s="14" customFormat="1" ht="13.5" customHeight="1">
      <c r="A10" s="45" t="s">
        <v>1047</v>
      </c>
      <c r="B10" s="207"/>
      <c r="C10" s="172"/>
      <c r="D10" s="211"/>
      <c r="E10" s="212"/>
      <c r="F10" s="302"/>
    </row>
    <row r="11" spans="1:6" s="14" customFormat="1" ht="13.5" customHeight="1">
      <c r="A11" s="45" t="s">
        <v>1048</v>
      </c>
      <c r="B11" s="207"/>
      <c r="C11" s="172"/>
      <c r="D11" s="211"/>
      <c r="E11" s="212"/>
      <c r="F11" s="302"/>
    </row>
    <row r="12" spans="1:6" s="14" customFormat="1" ht="13.5" customHeight="1" thickBot="1">
      <c r="A12" s="49" t="s">
        <v>1049</v>
      </c>
      <c r="B12" s="204"/>
      <c r="C12" s="119"/>
      <c r="D12" s="305"/>
      <c r="E12" s="230"/>
      <c r="F12" s="302"/>
    </row>
    <row r="13" spans="1:6" s="14" customFormat="1" ht="13.5" customHeight="1">
      <c r="A13" s="52" t="s">
        <v>1365</v>
      </c>
      <c r="B13" s="199"/>
      <c r="C13" s="25"/>
      <c r="D13" s="306"/>
      <c r="E13" s="197"/>
      <c r="F13" s="302"/>
    </row>
    <row r="14" spans="1:6" s="14" customFormat="1" ht="13.5" customHeight="1">
      <c r="A14" s="52" t="s">
        <v>1050</v>
      </c>
      <c r="B14" s="199"/>
      <c r="C14" s="25"/>
      <c r="D14" s="306"/>
      <c r="E14" s="197"/>
      <c r="F14" s="302"/>
    </row>
    <row r="15" spans="1:6" s="14" customFormat="1" ht="13.5" customHeight="1">
      <c r="A15" s="52" t="s">
        <v>1421</v>
      </c>
      <c r="B15" s="199"/>
      <c r="C15" s="25"/>
      <c r="D15" s="306"/>
      <c r="E15" s="197"/>
      <c r="F15" s="302"/>
    </row>
    <row r="16" spans="1:6" s="14" customFormat="1" ht="13.5" customHeight="1" thickBot="1">
      <c r="A16" s="52" t="s">
        <v>11</v>
      </c>
      <c r="B16" s="199"/>
      <c r="C16" s="25"/>
      <c r="D16" s="306"/>
      <c r="E16" s="197"/>
      <c r="F16" s="302"/>
    </row>
    <row r="17" spans="1:6" s="14" customFormat="1" ht="13.5" customHeight="1" thickBot="1">
      <c r="A17" s="54" t="s">
        <v>0</v>
      </c>
      <c r="B17" s="686"/>
      <c r="C17" s="55" t="s">
        <v>224</v>
      </c>
      <c r="D17" s="687"/>
      <c r="E17" s="161">
        <f>+C19+C42+C58+C81</f>
        <v>12498675</v>
      </c>
      <c r="F17" s="319"/>
    </row>
    <row r="18" spans="1:6" s="7" customFormat="1" ht="13.5" customHeight="1" thickBot="1">
      <c r="A18" s="12"/>
      <c r="B18" s="247"/>
      <c r="C18" s="33"/>
      <c r="D18" s="688"/>
      <c r="E18" s="59"/>
      <c r="F18" s="301"/>
    </row>
    <row r="19" spans="1:6" s="7" customFormat="1" ht="13.5" customHeight="1" thickBot="1">
      <c r="A19" s="987" t="s">
        <v>1</v>
      </c>
      <c r="B19" s="988"/>
      <c r="C19" s="40">
        <f>C20+C27+C34</f>
        <v>6754675</v>
      </c>
      <c r="D19" s="316"/>
      <c r="E19" s="689"/>
      <c r="F19" s="301"/>
    </row>
    <row r="20" spans="1:11" s="255" customFormat="1" ht="13.5">
      <c r="A20" s="12" t="s">
        <v>107</v>
      </c>
      <c r="B20" s="286" t="s">
        <v>108</v>
      </c>
      <c r="C20" s="96">
        <f>SUM(C21:C26)</f>
        <v>2191548</v>
      </c>
      <c r="D20" s="96"/>
      <c r="F20" s="258"/>
      <c r="G20" s="256"/>
      <c r="H20" s="256"/>
      <c r="I20" s="256"/>
      <c r="J20" s="256"/>
      <c r="K20" s="256"/>
    </row>
    <row r="21" spans="1:12" s="9" customFormat="1" ht="12.75" customHeight="1" hidden="1" thickBot="1">
      <c r="A21" s="13" t="s">
        <v>27</v>
      </c>
      <c r="B21" s="25" t="s">
        <v>24</v>
      </c>
      <c r="C21" s="821">
        <v>1665485</v>
      </c>
      <c r="D21" s="23"/>
      <c r="J21" s="827"/>
      <c r="K21" s="828"/>
      <c r="L21" s="829"/>
    </row>
    <row r="22" spans="1:6" s="10" customFormat="1" ht="12.75" customHeight="1" hidden="1">
      <c r="A22" s="13" t="s">
        <v>28</v>
      </c>
      <c r="B22" s="25" t="s">
        <v>26</v>
      </c>
      <c r="C22" s="821">
        <f>341080+76743</f>
        <v>417823</v>
      </c>
      <c r="D22" s="23"/>
      <c r="F22" s="24"/>
    </row>
    <row r="23" spans="1:6" s="10" customFormat="1" ht="12.75" customHeight="1" hidden="1">
      <c r="A23" s="13" t="s">
        <v>29</v>
      </c>
      <c r="B23" s="25" t="s">
        <v>86</v>
      </c>
      <c r="C23" s="821">
        <f>25000+62647+2751</f>
        <v>90398</v>
      </c>
      <c r="D23" s="23"/>
      <c r="F23" s="24"/>
    </row>
    <row r="24" spans="1:6" s="10" customFormat="1" ht="12.75" customHeight="1" hidden="1">
      <c r="A24" s="13" t="s">
        <v>30</v>
      </c>
      <c r="B24" s="25" t="s">
        <v>87</v>
      </c>
      <c r="C24" s="821">
        <v>1</v>
      </c>
      <c r="D24" s="23"/>
      <c r="F24" s="24"/>
    </row>
    <row r="25" spans="1:6" s="9" customFormat="1" ht="12.75" customHeight="1" hidden="1">
      <c r="A25" s="13" t="s">
        <v>31</v>
      </c>
      <c r="B25" s="25" t="s">
        <v>25</v>
      </c>
      <c r="C25" s="821">
        <f>2800+15040</f>
        <v>17840</v>
      </c>
      <c r="D25" s="23"/>
      <c r="F25" s="26"/>
    </row>
    <row r="26" spans="1:6" s="10" customFormat="1" ht="12.75" customHeight="1" hidden="1">
      <c r="A26" s="13" t="s">
        <v>32</v>
      </c>
      <c r="B26" s="25" t="s">
        <v>23</v>
      </c>
      <c r="C26" s="821">
        <v>1</v>
      </c>
      <c r="D26" s="23"/>
      <c r="F26" s="26"/>
    </row>
    <row r="27" spans="1:6" s="10" customFormat="1" ht="12.75" customHeight="1">
      <c r="A27" s="12" t="s">
        <v>109</v>
      </c>
      <c r="B27" s="33" t="s">
        <v>110</v>
      </c>
      <c r="C27" s="33">
        <f>SUM(C28:C33)</f>
        <v>3774874</v>
      </c>
      <c r="D27" s="23"/>
      <c r="F27" s="26"/>
    </row>
    <row r="28" spans="1:8" s="9" customFormat="1" ht="12.75" customHeight="1" hidden="1">
      <c r="A28" s="13" t="s">
        <v>34</v>
      </c>
      <c r="B28" s="25" t="s">
        <v>88</v>
      </c>
      <c r="C28" s="821">
        <v>2921050</v>
      </c>
      <c r="D28" s="23"/>
      <c r="F28" s="26"/>
      <c r="G28" s="57"/>
      <c r="H28" s="57"/>
    </row>
    <row r="29" spans="1:6" s="10" customFormat="1" ht="12.75" customHeight="1" hidden="1">
      <c r="A29" s="13" t="s">
        <v>35</v>
      </c>
      <c r="B29" s="25" t="s">
        <v>89</v>
      </c>
      <c r="C29" s="821">
        <f>584210+131447</f>
        <v>715657</v>
      </c>
      <c r="D29" s="23"/>
      <c r="F29" s="26"/>
    </row>
    <row r="30" spans="1:6" s="10" customFormat="1" ht="12.75" customHeight="1" hidden="1">
      <c r="A30" s="13" t="s">
        <v>36</v>
      </c>
      <c r="B30" s="25" t="s">
        <v>90</v>
      </c>
      <c r="C30" s="821">
        <f>121636+1925</f>
        <v>123561</v>
      </c>
      <c r="D30" s="23"/>
      <c r="F30" s="26"/>
    </row>
    <row r="31" spans="1:6" s="10" customFormat="1" ht="12.75" customHeight="1" hidden="1">
      <c r="A31" s="13" t="s">
        <v>37</v>
      </c>
      <c r="B31" s="25" t="s">
        <v>91</v>
      </c>
      <c r="C31" s="821">
        <v>1</v>
      </c>
      <c r="D31" s="23"/>
      <c r="F31" s="26"/>
    </row>
    <row r="32" spans="1:6" s="9" customFormat="1" ht="12.75" customHeight="1" hidden="1">
      <c r="A32" s="13" t="s">
        <v>38</v>
      </c>
      <c r="B32" s="25" t="s">
        <v>33</v>
      </c>
      <c r="C32" s="821">
        <f>14604</f>
        <v>14604</v>
      </c>
      <c r="D32" s="690"/>
      <c r="F32" s="26"/>
    </row>
    <row r="33" spans="1:6" s="10" customFormat="1" ht="12.75" customHeight="1" hidden="1">
      <c r="A33" s="13" t="s">
        <v>93</v>
      </c>
      <c r="B33" s="25" t="s">
        <v>92</v>
      </c>
      <c r="C33" s="821">
        <v>1</v>
      </c>
      <c r="D33" s="23"/>
      <c r="F33" s="26"/>
    </row>
    <row r="34" spans="1:6" s="10" customFormat="1" ht="12.75" customHeight="1">
      <c r="A34" s="12" t="s">
        <v>111</v>
      </c>
      <c r="B34" s="33" t="s">
        <v>112</v>
      </c>
      <c r="C34" s="33">
        <f>SUM(C35:C40)</f>
        <v>788253</v>
      </c>
      <c r="D34" s="23"/>
      <c r="F34" s="26"/>
    </row>
    <row r="35" spans="1:4" s="9" customFormat="1" ht="12.75" customHeight="1" hidden="1">
      <c r="A35" s="13" t="s">
        <v>43</v>
      </c>
      <c r="B35" s="25" t="s">
        <v>39</v>
      </c>
      <c r="C35" s="821">
        <v>606738</v>
      </c>
      <c r="D35" s="23"/>
    </row>
    <row r="36" spans="1:6" s="10" customFormat="1" ht="12.75" customHeight="1" hidden="1">
      <c r="A36" s="13" t="s">
        <v>44</v>
      </c>
      <c r="B36" s="25" t="s">
        <v>41</v>
      </c>
      <c r="C36" s="821">
        <f>121348+27303</f>
        <v>148651</v>
      </c>
      <c r="D36" s="23"/>
      <c r="F36" s="24"/>
    </row>
    <row r="37" spans="1:6" s="10" customFormat="1" ht="12.75" customHeight="1" hidden="1">
      <c r="A37" s="13" t="s">
        <v>45</v>
      </c>
      <c r="B37" s="25" t="s">
        <v>94</v>
      </c>
      <c r="C37" s="821">
        <f>25293+825</f>
        <v>26118</v>
      </c>
      <c r="D37" s="23"/>
      <c r="E37" s="26"/>
      <c r="F37" s="132"/>
    </row>
    <row r="38" spans="1:6" s="10" customFormat="1" ht="12.75" customHeight="1" hidden="1">
      <c r="A38" s="13" t="s">
        <v>46</v>
      </c>
      <c r="B38" s="25" t="s">
        <v>95</v>
      </c>
      <c r="C38" s="821">
        <v>1</v>
      </c>
      <c r="D38" s="23"/>
      <c r="E38" s="26"/>
      <c r="F38" s="132"/>
    </row>
    <row r="39" spans="1:6" s="9" customFormat="1" ht="12.75" customHeight="1" hidden="1">
      <c r="A39" s="13" t="s">
        <v>47</v>
      </c>
      <c r="B39" s="25" t="s">
        <v>40</v>
      </c>
      <c r="C39" s="821">
        <f>6744</f>
        <v>6744</v>
      </c>
      <c r="D39" s="23"/>
      <c r="E39" s="26"/>
      <c r="F39" s="132"/>
    </row>
    <row r="40" spans="1:6" s="10" customFormat="1" ht="12.75" customHeight="1" hidden="1">
      <c r="A40" s="13" t="s">
        <v>48</v>
      </c>
      <c r="B40" s="25" t="s">
        <v>42</v>
      </c>
      <c r="C40" s="821">
        <v>1</v>
      </c>
      <c r="D40" s="23"/>
      <c r="E40" s="26"/>
      <c r="F40" s="133"/>
    </row>
    <row r="41" spans="1:8" s="10" customFormat="1" ht="12.75" customHeight="1" thickBot="1">
      <c r="A41" s="13"/>
      <c r="B41" s="25"/>
      <c r="C41" s="25"/>
      <c r="D41" s="580"/>
      <c r="E41" s="582"/>
      <c r="F41" s="691"/>
      <c r="G41" s="692"/>
      <c r="H41" s="108"/>
    </row>
    <row r="42" spans="1:6" s="9" customFormat="1" ht="13.5" customHeight="1" thickBot="1">
      <c r="A42" s="947" t="s">
        <v>2</v>
      </c>
      <c r="B42" s="948"/>
      <c r="C42" s="693">
        <f>C43+C45+C48+C50+C52+C54</f>
        <v>124800</v>
      </c>
      <c r="D42" s="102"/>
      <c r="E42" s="10"/>
      <c r="F42" s="280"/>
    </row>
    <row r="43" spans="1:5" s="140" customFormat="1" ht="13.5" customHeight="1">
      <c r="A43" s="12" t="s">
        <v>113</v>
      </c>
      <c r="B43" s="286" t="s">
        <v>114</v>
      </c>
      <c r="C43" s="34">
        <f>SUM(C44)</f>
        <v>12350</v>
      </c>
      <c r="D43" s="135"/>
      <c r="E43" s="225"/>
    </row>
    <row r="44" spans="1:6" s="140" customFormat="1" ht="13.5" customHeight="1" hidden="1">
      <c r="A44" s="13" t="s">
        <v>50</v>
      </c>
      <c r="B44" s="57" t="s">
        <v>180</v>
      </c>
      <c r="C44" s="824">
        <f>12350</f>
        <v>12350</v>
      </c>
      <c r="E44" s="225"/>
      <c r="F44" s="135"/>
    </row>
    <row r="45" spans="1:6" s="140" customFormat="1" ht="13.5" customHeight="1">
      <c r="A45" s="12" t="s">
        <v>115</v>
      </c>
      <c r="B45" s="791" t="s">
        <v>116</v>
      </c>
      <c r="C45" s="34">
        <f>SUM(C46:C47)</f>
        <v>29850</v>
      </c>
      <c r="E45" s="225"/>
      <c r="F45" s="135"/>
    </row>
    <row r="46" spans="1:6" s="140" customFormat="1" ht="13.5" customHeight="1" hidden="1">
      <c r="A46" s="13" t="s">
        <v>72</v>
      </c>
      <c r="B46" s="9" t="s">
        <v>73</v>
      </c>
      <c r="C46" s="824">
        <v>14100</v>
      </c>
      <c r="E46" s="225"/>
      <c r="F46" s="135"/>
    </row>
    <row r="47" spans="1:8" s="100" customFormat="1" ht="13.5" hidden="1">
      <c r="A47" s="13" t="s">
        <v>96</v>
      </c>
      <c r="B47" s="9" t="s">
        <v>71</v>
      </c>
      <c r="C47" s="822">
        <v>15750</v>
      </c>
      <c r="E47" s="670"/>
      <c r="F47" s="670"/>
      <c r="G47" s="78"/>
      <c r="H47" s="78"/>
    </row>
    <row r="48" spans="1:8" s="100" customFormat="1" ht="13.5">
      <c r="A48" s="12" t="s">
        <v>117</v>
      </c>
      <c r="B48" s="791" t="s">
        <v>118</v>
      </c>
      <c r="C48" s="96">
        <f>SUM(C49)</f>
        <v>65300</v>
      </c>
      <c r="E48" s="670"/>
      <c r="F48" s="670"/>
      <c r="G48" s="78"/>
      <c r="H48" s="78"/>
    </row>
    <row r="49" spans="1:8" s="100" customFormat="1" ht="13.5" hidden="1">
      <c r="A49" s="13" t="s">
        <v>51</v>
      </c>
      <c r="B49" s="24" t="s">
        <v>52</v>
      </c>
      <c r="C49" s="821">
        <v>65300</v>
      </c>
      <c r="E49" s="670"/>
      <c r="F49" s="675"/>
      <c r="G49" s="694"/>
      <c r="H49" s="78"/>
    </row>
    <row r="50" spans="1:8" s="100" customFormat="1" ht="13.5">
      <c r="A50" s="353" t="s">
        <v>129</v>
      </c>
      <c r="B50" s="26" t="s">
        <v>119</v>
      </c>
      <c r="C50" s="26">
        <f>SUM(C51)</f>
        <v>4750</v>
      </c>
      <c r="E50" s="670"/>
      <c r="F50" s="670"/>
      <c r="G50" s="694"/>
      <c r="H50" s="78"/>
    </row>
    <row r="51" spans="1:8" s="100" customFormat="1" ht="13.5" hidden="1">
      <c r="A51" s="107" t="s">
        <v>168</v>
      </c>
      <c r="B51" s="25" t="s">
        <v>74</v>
      </c>
      <c r="C51" s="822">
        <v>4750</v>
      </c>
      <c r="E51" s="670"/>
      <c r="F51" s="670"/>
      <c r="G51" s="694"/>
      <c r="H51" s="78"/>
    </row>
    <row r="52" spans="1:8" s="100" customFormat="1" ht="13.5">
      <c r="A52" s="12" t="s">
        <v>134</v>
      </c>
      <c r="B52" s="26" t="s">
        <v>1051</v>
      </c>
      <c r="C52" s="96">
        <f>SUM(C53)</f>
        <v>4650</v>
      </c>
      <c r="D52" s="670"/>
      <c r="E52" s="670"/>
      <c r="F52" s="670"/>
      <c r="G52" s="694"/>
      <c r="H52" s="78"/>
    </row>
    <row r="53" spans="1:8" s="100" customFormat="1" ht="13.5" hidden="1">
      <c r="A53" s="107" t="s">
        <v>1052</v>
      </c>
      <c r="B53" s="25" t="s">
        <v>78</v>
      </c>
      <c r="C53" s="822">
        <v>4650</v>
      </c>
      <c r="D53" s="670"/>
      <c r="E53" s="670"/>
      <c r="F53" s="670"/>
      <c r="G53" s="694"/>
      <c r="H53" s="78"/>
    </row>
    <row r="54" spans="1:8" s="100" customFormat="1" ht="13.5">
      <c r="A54" s="353" t="s">
        <v>169</v>
      </c>
      <c r="B54" s="26" t="s">
        <v>144</v>
      </c>
      <c r="C54" s="96">
        <f>SUM(C55:C56)</f>
        <v>7900</v>
      </c>
      <c r="D54" s="670"/>
      <c r="E54" s="670"/>
      <c r="F54" s="670"/>
      <c r="G54" s="694"/>
      <c r="H54" s="78"/>
    </row>
    <row r="55" spans="1:8" s="5" customFormat="1" ht="13.5" hidden="1">
      <c r="A55" s="107" t="s">
        <v>170</v>
      </c>
      <c r="B55" s="25" t="s">
        <v>70</v>
      </c>
      <c r="C55" s="821">
        <v>3650</v>
      </c>
      <c r="D55" s="531"/>
      <c r="E55" s="531"/>
      <c r="F55" s="531"/>
      <c r="G55" s="575"/>
      <c r="H55" s="208"/>
    </row>
    <row r="56" spans="1:8" s="100" customFormat="1" ht="13.5" hidden="1">
      <c r="A56" s="107" t="s">
        <v>173</v>
      </c>
      <c r="B56" s="24" t="s">
        <v>135</v>
      </c>
      <c r="C56" s="822">
        <v>4250</v>
      </c>
      <c r="D56" s="670"/>
      <c r="E56" s="670"/>
      <c r="F56" s="670"/>
      <c r="G56" s="694"/>
      <c r="H56" s="78"/>
    </row>
    <row r="57" spans="1:8" s="100" customFormat="1" ht="14.25" thickBot="1">
      <c r="A57" s="107"/>
      <c r="B57" s="24"/>
      <c r="C57" s="101"/>
      <c r="D57" s="670"/>
      <c r="E57" s="670"/>
      <c r="F57" s="670"/>
      <c r="G57" s="694"/>
      <c r="H57" s="78"/>
    </row>
    <row r="58" spans="1:6" s="9" customFormat="1" ht="13.5" customHeight="1" thickBot="1">
      <c r="A58" s="949" t="s">
        <v>3</v>
      </c>
      <c r="B58" s="950"/>
      <c r="C58" s="695">
        <f>C59+C61+C64+C68+C71+C76</f>
        <v>5593400</v>
      </c>
      <c r="D58" s="102"/>
      <c r="E58" s="10"/>
      <c r="F58" s="280"/>
    </row>
    <row r="59" spans="1:5" s="140" customFormat="1" ht="13.5" customHeight="1">
      <c r="A59" s="813" t="s">
        <v>120</v>
      </c>
      <c r="B59" s="404" t="s">
        <v>121</v>
      </c>
      <c r="C59" s="34">
        <f>SUM(C60)</f>
        <v>17500</v>
      </c>
      <c r="D59" s="135"/>
      <c r="E59" s="225"/>
    </row>
    <row r="60" spans="1:8" s="9" customFormat="1" ht="13.5" customHeight="1" hidden="1">
      <c r="A60" s="107" t="s">
        <v>57</v>
      </c>
      <c r="B60" s="25" t="s">
        <v>18</v>
      </c>
      <c r="C60" s="821">
        <v>17500</v>
      </c>
      <c r="E60" s="531"/>
      <c r="F60" s="535"/>
      <c r="G60" s="692"/>
      <c r="H60" s="71"/>
    </row>
    <row r="61" spans="1:8" s="9" customFormat="1" ht="13.5" customHeight="1">
      <c r="A61" s="813" t="s">
        <v>122</v>
      </c>
      <c r="B61" s="95" t="s">
        <v>175</v>
      </c>
      <c r="C61" s="33">
        <f>SUM(C62:C63)</f>
        <v>234250</v>
      </c>
      <c r="E61" s="531"/>
      <c r="F61" s="531"/>
      <c r="G61" s="692"/>
      <c r="H61" s="71"/>
    </row>
    <row r="62" spans="1:8" s="9" customFormat="1" ht="13.5" customHeight="1" hidden="1">
      <c r="A62" s="105" t="s">
        <v>150</v>
      </c>
      <c r="B62" s="86" t="s">
        <v>149</v>
      </c>
      <c r="C62" s="821">
        <v>6750</v>
      </c>
      <c r="E62" s="531"/>
      <c r="F62" s="531"/>
      <c r="G62" s="692"/>
      <c r="H62" s="71"/>
    </row>
    <row r="63" spans="1:8" s="9" customFormat="1" ht="13.5" customHeight="1" hidden="1">
      <c r="A63" s="105" t="s">
        <v>174</v>
      </c>
      <c r="B63" s="86" t="s">
        <v>1053</v>
      </c>
      <c r="C63" s="821">
        <f>247500-20000</f>
        <v>227500</v>
      </c>
      <c r="E63" s="531"/>
      <c r="F63" s="535"/>
      <c r="G63" s="692"/>
      <c r="H63" s="71"/>
    </row>
    <row r="64" spans="1:8" s="9" customFormat="1" ht="13.5" customHeight="1">
      <c r="A64" s="95" t="s">
        <v>123</v>
      </c>
      <c r="B64" s="813" t="s">
        <v>124</v>
      </c>
      <c r="C64" s="33">
        <f>SUM(C65:C67)</f>
        <v>72100</v>
      </c>
      <c r="E64" s="531"/>
      <c r="F64" s="531"/>
      <c r="G64" s="692"/>
      <c r="H64" s="71"/>
    </row>
    <row r="65" spans="1:11" s="57" customFormat="1" ht="13.5" customHeight="1" hidden="1">
      <c r="A65" s="86" t="s">
        <v>58</v>
      </c>
      <c r="B65" s="86" t="s">
        <v>59</v>
      </c>
      <c r="C65" s="821">
        <v>15000</v>
      </c>
      <c r="E65" s="9"/>
      <c r="F65" s="704"/>
      <c r="G65" s="692"/>
      <c r="I65" s="9"/>
      <c r="J65" s="9"/>
      <c r="K65" s="9"/>
    </row>
    <row r="66" spans="1:8" s="9" customFormat="1" ht="13.5" customHeight="1" hidden="1">
      <c r="A66" s="86" t="s">
        <v>98</v>
      </c>
      <c r="B66" s="86" t="s">
        <v>69</v>
      </c>
      <c r="C66" s="821">
        <v>11000</v>
      </c>
      <c r="E66" s="530"/>
      <c r="F66" s="696"/>
      <c r="G66" s="692"/>
      <c r="H66" s="57"/>
    </row>
    <row r="67" spans="1:11" s="9" customFormat="1" ht="13.5" customHeight="1" hidden="1">
      <c r="A67" s="13" t="s">
        <v>584</v>
      </c>
      <c r="B67" s="13" t="s">
        <v>1062</v>
      </c>
      <c r="C67" s="821">
        <v>46100</v>
      </c>
      <c r="E67" s="108"/>
      <c r="F67" s="79"/>
      <c r="G67" s="57"/>
      <c r="H67" s="57"/>
      <c r="I67" s="57"/>
      <c r="J67" s="57"/>
      <c r="K67" s="57"/>
    </row>
    <row r="68" spans="1:8" s="9" customFormat="1" ht="13.5" customHeight="1">
      <c r="A68" s="813" t="s">
        <v>143</v>
      </c>
      <c r="B68" s="813" t="s">
        <v>61</v>
      </c>
      <c r="C68" s="33">
        <f>SUM(C69:C70)</f>
        <v>57550</v>
      </c>
      <c r="E68" s="530"/>
      <c r="F68" s="696"/>
      <c r="G68" s="692"/>
      <c r="H68" s="57"/>
    </row>
    <row r="69" spans="1:8" s="9" customFormat="1" ht="13.5" customHeight="1" hidden="1">
      <c r="A69" s="86" t="s">
        <v>60</v>
      </c>
      <c r="B69" s="86" t="s">
        <v>61</v>
      </c>
      <c r="C69" s="821">
        <v>35500</v>
      </c>
      <c r="E69" s="530"/>
      <c r="F69" s="696"/>
      <c r="G69" s="692"/>
      <c r="H69" s="57"/>
    </row>
    <row r="70" spans="1:8" s="9" customFormat="1" ht="13.5" customHeight="1" hidden="1">
      <c r="A70" s="86" t="s">
        <v>1054</v>
      </c>
      <c r="B70" s="86" t="s">
        <v>1055</v>
      </c>
      <c r="C70" s="821">
        <v>22050</v>
      </c>
      <c r="E70" s="530"/>
      <c r="F70" s="696"/>
      <c r="G70" s="692"/>
      <c r="H70" s="57"/>
    </row>
    <row r="71" spans="1:8" s="9" customFormat="1" ht="13.5" customHeight="1">
      <c r="A71" s="353" t="s">
        <v>586</v>
      </c>
      <c r="B71" s="26" t="s">
        <v>587</v>
      </c>
      <c r="C71" s="33">
        <f>SUM(C72:C75)</f>
        <v>5000000</v>
      </c>
      <c r="E71" s="530"/>
      <c r="F71" s="696"/>
      <c r="G71" s="692"/>
      <c r="H71" s="57"/>
    </row>
    <row r="72" spans="1:12" s="57" customFormat="1" ht="13.5" customHeight="1" hidden="1" thickBot="1">
      <c r="A72" s="13" t="s">
        <v>1056</v>
      </c>
      <c r="B72" s="57" t="s">
        <v>1057</v>
      </c>
      <c r="C72" s="821">
        <v>4000000</v>
      </c>
      <c r="F72" s="180"/>
      <c r="J72" s="830"/>
      <c r="K72" s="831"/>
      <c r="L72" s="832"/>
    </row>
    <row r="73" spans="1:5" s="9" customFormat="1" ht="13.5" customHeight="1" hidden="1">
      <c r="A73" s="13" t="s">
        <v>1058</v>
      </c>
      <c r="B73" s="57" t="s">
        <v>1059</v>
      </c>
      <c r="C73" s="821">
        <v>600000</v>
      </c>
      <c r="E73" s="108"/>
    </row>
    <row r="74" spans="1:6" s="9" customFormat="1" ht="13.5" customHeight="1" hidden="1">
      <c r="A74" s="13" t="s">
        <v>1060</v>
      </c>
      <c r="B74" s="57" t="s">
        <v>1061</v>
      </c>
      <c r="C74" s="821">
        <v>150000</v>
      </c>
      <c r="E74" s="10"/>
      <c r="F74" s="314"/>
    </row>
    <row r="75" spans="1:6" s="9" customFormat="1" ht="13.5" customHeight="1" hidden="1">
      <c r="A75" s="13" t="s">
        <v>1171</v>
      </c>
      <c r="B75" s="57" t="s">
        <v>1170</v>
      </c>
      <c r="C75" s="821">
        <v>250000</v>
      </c>
      <c r="E75" s="10"/>
      <c r="F75" s="314"/>
    </row>
    <row r="76" spans="1:6" s="9" customFormat="1" ht="13.5" customHeight="1">
      <c r="A76" s="813" t="s">
        <v>125</v>
      </c>
      <c r="B76" s="33" t="s">
        <v>8</v>
      </c>
      <c r="C76" s="33">
        <f>SUM(C77:C79)</f>
        <v>212000</v>
      </c>
      <c r="E76" s="10"/>
      <c r="F76" s="314"/>
    </row>
    <row r="77" spans="1:7" s="9" customFormat="1" ht="13.5" customHeight="1" hidden="1">
      <c r="A77" s="107" t="s">
        <v>102</v>
      </c>
      <c r="B77" s="25" t="s">
        <v>8</v>
      </c>
      <c r="C77" s="822">
        <f>192000</f>
        <v>192000</v>
      </c>
      <c r="E77" s="531"/>
      <c r="F77" s="697"/>
      <c r="G77" s="697"/>
    </row>
    <row r="78" spans="1:7" s="9" customFormat="1" ht="13.5" customHeight="1" hidden="1">
      <c r="A78" s="107" t="s">
        <v>104</v>
      </c>
      <c r="B78" s="25" t="s">
        <v>54</v>
      </c>
      <c r="C78" s="822">
        <v>11500</v>
      </c>
      <c r="D78" s="531"/>
      <c r="E78" s="531"/>
      <c r="F78" s="676"/>
      <c r="G78" s="697"/>
    </row>
    <row r="79" spans="1:10" s="9" customFormat="1" ht="13.5" customHeight="1" hidden="1">
      <c r="A79" s="107" t="s">
        <v>100</v>
      </c>
      <c r="B79" s="25" t="s">
        <v>7</v>
      </c>
      <c r="C79" s="821">
        <v>8500</v>
      </c>
      <c r="D79" s="535"/>
      <c r="F79" s="670"/>
      <c r="G79" s="692"/>
      <c r="H79" s="57"/>
      <c r="J79" s="123"/>
    </row>
    <row r="80" spans="1:10" s="9" customFormat="1" ht="13.5" customHeight="1" thickBot="1">
      <c r="A80" s="107"/>
      <c r="B80" s="25"/>
      <c r="C80" s="25"/>
      <c r="D80" s="531"/>
      <c r="F80" s="670"/>
      <c r="G80" s="692"/>
      <c r="H80" s="57"/>
      <c r="J80" s="123"/>
    </row>
    <row r="81" spans="1:6" s="9" customFormat="1" ht="13.5" customHeight="1" thickBot="1">
      <c r="A81" s="951" t="s">
        <v>4</v>
      </c>
      <c r="B81" s="952"/>
      <c r="C81" s="662">
        <f>C82+C84</f>
        <v>25800</v>
      </c>
      <c r="D81" s="102"/>
      <c r="E81" s="10"/>
      <c r="F81" s="280"/>
    </row>
    <row r="82" spans="1:5" s="140" customFormat="1" ht="13.5" customHeight="1">
      <c r="A82" s="353" t="s">
        <v>126</v>
      </c>
      <c r="B82" s="286" t="s">
        <v>127</v>
      </c>
      <c r="C82" s="34">
        <f>SUM(C83)</f>
        <v>16200</v>
      </c>
      <c r="D82" s="135"/>
      <c r="E82" s="225"/>
    </row>
    <row r="83" spans="1:7" s="100" customFormat="1" ht="13.5" hidden="1">
      <c r="A83" s="105" t="s">
        <v>101</v>
      </c>
      <c r="B83" s="105" t="s">
        <v>152</v>
      </c>
      <c r="C83" s="822">
        <v>16200</v>
      </c>
      <c r="D83" s="676"/>
      <c r="E83" s="676"/>
      <c r="F83" s="676"/>
      <c r="G83" s="698"/>
    </row>
    <row r="84" spans="1:7" s="100" customFormat="1" ht="13.5">
      <c r="A84" s="353" t="s">
        <v>188</v>
      </c>
      <c r="B84" s="26" t="s">
        <v>145</v>
      </c>
      <c r="C84" s="96">
        <f>SUM(C85)</f>
        <v>9600</v>
      </c>
      <c r="D84" s="676"/>
      <c r="E84" s="676"/>
      <c r="F84" s="676"/>
      <c r="G84" s="698"/>
    </row>
    <row r="85" spans="1:7" s="100" customFormat="1" ht="13.5" hidden="1">
      <c r="A85" s="13" t="s">
        <v>189</v>
      </c>
      <c r="B85" s="25" t="s">
        <v>56</v>
      </c>
      <c r="C85" s="822">
        <v>9600</v>
      </c>
      <c r="D85" s="676"/>
      <c r="E85" s="676"/>
      <c r="F85" s="676"/>
      <c r="G85" s="698"/>
    </row>
    <row r="86" spans="1:6" s="7" customFormat="1" ht="13.5" customHeight="1">
      <c r="A86" s="107"/>
      <c r="B86" s="254"/>
      <c r="C86" s="26"/>
      <c r="D86" s="334"/>
      <c r="E86" s="228"/>
      <c r="F86" s="301"/>
    </row>
    <row r="87" spans="1:6" s="7" customFormat="1" ht="13.5" customHeight="1" thickBot="1">
      <c r="A87" s="107"/>
      <c r="B87" s="254"/>
      <c r="C87" s="29"/>
      <c r="D87" s="316"/>
      <c r="E87" s="228"/>
      <c r="F87" s="301"/>
    </row>
    <row r="88" spans="1:6" s="14" customFormat="1" ht="13.5" customHeight="1">
      <c r="A88" s="64" t="s">
        <v>1064</v>
      </c>
      <c r="B88" s="244"/>
      <c r="C88" s="601"/>
      <c r="D88" s="219" t="s">
        <v>6</v>
      </c>
      <c r="E88" s="218">
        <v>1902</v>
      </c>
      <c r="F88" s="302"/>
    </row>
    <row r="89" spans="1:6" s="14" customFormat="1" ht="13.5" customHeight="1" thickBot="1">
      <c r="A89" s="49"/>
      <c r="B89" s="195"/>
      <c r="C89" s="556"/>
      <c r="D89" s="217"/>
      <c r="E89" s="216"/>
      <c r="F89" s="302"/>
    </row>
    <row r="90" spans="1:6" s="14" customFormat="1" ht="13.5" customHeight="1">
      <c r="A90" s="64" t="s">
        <v>1065</v>
      </c>
      <c r="B90" s="220"/>
      <c r="C90" s="65"/>
      <c r="D90" s="848"/>
      <c r="E90" s="273"/>
      <c r="F90" s="302"/>
    </row>
    <row r="91" spans="1:6" s="14" customFormat="1" ht="13.5" customHeight="1">
      <c r="A91" s="45" t="s">
        <v>1066</v>
      </c>
      <c r="B91" s="207"/>
      <c r="C91" s="172"/>
      <c r="D91" s="211"/>
      <c r="E91" s="212"/>
      <c r="F91" s="302"/>
    </row>
    <row r="92" spans="1:6" s="14" customFormat="1" ht="13.5" customHeight="1">
      <c r="A92" s="45" t="s">
        <v>1067</v>
      </c>
      <c r="B92" s="207"/>
      <c r="C92" s="172"/>
      <c r="D92" s="211"/>
      <c r="E92" s="212"/>
      <c r="F92" s="302"/>
    </row>
    <row r="93" spans="1:6" s="14" customFormat="1" ht="13.5" customHeight="1" thickBot="1">
      <c r="A93" s="49" t="s">
        <v>1068</v>
      </c>
      <c r="B93" s="204"/>
      <c r="C93" s="119"/>
      <c r="D93" s="305"/>
      <c r="E93" s="230"/>
      <c r="F93" s="302"/>
    </row>
    <row r="94" spans="1:6" s="14" customFormat="1" ht="13.5" customHeight="1">
      <c r="A94" s="169" t="s">
        <v>1365</v>
      </c>
      <c r="B94" s="244"/>
      <c r="C94" s="601"/>
      <c r="D94" s="699"/>
      <c r="E94" s="242"/>
      <c r="F94" s="302"/>
    </row>
    <row r="95" spans="1:6" s="14" customFormat="1" ht="13.5" customHeight="1">
      <c r="A95" s="52" t="s">
        <v>1050</v>
      </c>
      <c r="B95" s="199"/>
      <c r="C95" s="25"/>
      <c r="D95" s="306"/>
      <c r="E95" s="197"/>
      <c r="F95" s="302"/>
    </row>
    <row r="96" spans="1:6" s="14" customFormat="1" ht="13.5" customHeight="1">
      <c r="A96" s="52" t="s">
        <v>1421</v>
      </c>
      <c r="B96" s="199"/>
      <c r="C96" s="25"/>
      <c r="D96" s="306"/>
      <c r="E96" s="197"/>
      <c r="F96" s="302"/>
    </row>
    <row r="97" spans="1:6" s="14" customFormat="1" ht="13.5" customHeight="1" thickBot="1">
      <c r="A97" s="111" t="s">
        <v>11</v>
      </c>
      <c r="B97" s="195"/>
      <c r="C97" s="556"/>
      <c r="D97" s="700"/>
      <c r="E97" s="193"/>
      <c r="F97" s="302"/>
    </row>
    <row r="98" spans="1:6" s="14" customFormat="1" ht="13.5" customHeight="1" thickBot="1">
      <c r="A98" s="113" t="s">
        <v>0</v>
      </c>
      <c r="B98" s="701"/>
      <c r="C98" s="62" t="s">
        <v>224</v>
      </c>
      <c r="D98" s="702"/>
      <c r="E98" s="112">
        <f>+C100+C108+C115</f>
        <v>110200</v>
      </c>
      <c r="F98" s="319"/>
    </row>
    <row r="99" spans="1:6" s="7" customFormat="1" ht="13.5" customHeight="1" thickBot="1">
      <c r="A99" s="12"/>
      <c r="B99" s="247"/>
      <c r="C99" s="33"/>
      <c r="D99" s="703"/>
      <c r="E99" s="59"/>
      <c r="F99" s="301"/>
    </row>
    <row r="100" spans="1:6" s="9" customFormat="1" ht="13.5" customHeight="1" thickBot="1">
      <c r="A100" s="947" t="s">
        <v>2</v>
      </c>
      <c r="B100" s="948"/>
      <c r="C100" s="693">
        <f>C101+C103+C105</f>
        <v>26600</v>
      </c>
      <c r="D100" s="102"/>
      <c r="E100" s="10"/>
      <c r="F100" s="280"/>
    </row>
    <row r="101" spans="1:6" s="140" customFormat="1" ht="13.5" customHeight="1">
      <c r="A101" s="12" t="s">
        <v>113</v>
      </c>
      <c r="B101" s="286" t="s">
        <v>114</v>
      </c>
      <c r="C101" s="34">
        <f>SUM(C102)</f>
        <v>5550</v>
      </c>
      <c r="E101" s="225"/>
      <c r="F101" s="135"/>
    </row>
    <row r="102" spans="1:6" s="140" customFormat="1" ht="13.5" customHeight="1" hidden="1">
      <c r="A102" s="13" t="s">
        <v>50</v>
      </c>
      <c r="B102" s="57" t="s">
        <v>180</v>
      </c>
      <c r="C102" s="824">
        <v>5550</v>
      </c>
      <c r="E102" s="225"/>
      <c r="F102" s="135"/>
    </row>
    <row r="103" spans="1:6" s="140" customFormat="1" ht="13.5" customHeight="1">
      <c r="A103" s="12" t="s">
        <v>117</v>
      </c>
      <c r="B103" s="791" t="s">
        <v>118</v>
      </c>
      <c r="C103" s="34">
        <f>SUM(C104)</f>
        <v>15500</v>
      </c>
      <c r="E103" s="225"/>
      <c r="F103" s="135"/>
    </row>
    <row r="104" spans="1:8" s="100" customFormat="1" ht="13.5" hidden="1">
      <c r="A104" s="13" t="s">
        <v>51</v>
      </c>
      <c r="B104" s="24" t="s">
        <v>52</v>
      </c>
      <c r="C104" s="821">
        <v>15500</v>
      </c>
      <c r="E104" s="670"/>
      <c r="F104" s="670"/>
      <c r="G104" s="694"/>
      <c r="H104" s="78"/>
    </row>
    <row r="105" spans="1:8" s="100" customFormat="1" ht="13.5">
      <c r="A105" s="353" t="s">
        <v>169</v>
      </c>
      <c r="B105" s="26" t="s">
        <v>144</v>
      </c>
      <c r="C105" s="33">
        <f>SUM(C106)</f>
        <v>5550</v>
      </c>
      <c r="E105" s="670"/>
      <c r="F105" s="670"/>
      <c r="G105" s="694"/>
      <c r="H105" s="78"/>
    </row>
    <row r="106" spans="1:8" s="100" customFormat="1" ht="13.5" hidden="1">
      <c r="A106" s="107" t="s">
        <v>173</v>
      </c>
      <c r="B106" s="24" t="s">
        <v>135</v>
      </c>
      <c r="C106" s="822">
        <v>5550</v>
      </c>
      <c r="E106" s="670"/>
      <c r="F106" s="670"/>
      <c r="G106" s="694"/>
      <c r="H106" s="78"/>
    </row>
    <row r="107" spans="1:8" s="100" customFormat="1" ht="14.25" thickBot="1">
      <c r="A107" s="107"/>
      <c r="B107" s="24"/>
      <c r="C107" s="101"/>
      <c r="E107" s="670"/>
      <c r="F107" s="670"/>
      <c r="G107" s="694"/>
      <c r="H107" s="78"/>
    </row>
    <row r="108" spans="1:6" s="9" customFormat="1" ht="13.5" customHeight="1" thickBot="1">
      <c r="A108" s="949" t="s">
        <v>3</v>
      </c>
      <c r="B108" s="950"/>
      <c r="C108" s="695">
        <f>SUM(C109+C111)</f>
        <v>36900</v>
      </c>
      <c r="E108" s="10"/>
      <c r="F108" s="102"/>
    </row>
    <row r="109" spans="1:6" s="140" customFormat="1" ht="13.5" customHeight="1">
      <c r="A109" s="813" t="s">
        <v>120</v>
      </c>
      <c r="B109" s="404" t="s">
        <v>121</v>
      </c>
      <c r="C109" s="34">
        <f>SUM(C110)</f>
        <v>8500</v>
      </c>
      <c r="E109" s="225"/>
      <c r="F109" s="135"/>
    </row>
    <row r="110" spans="1:8" s="9" customFormat="1" ht="13.5" customHeight="1" hidden="1">
      <c r="A110" s="107" t="s">
        <v>57</v>
      </c>
      <c r="B110" s="25" t="s">
        <v>18</v>
      </c>
      <c r="C110" s="821">
        <v>8500</v>
      </c>
      <c r="E110" s="531"/>
      <c r="F110" s="535"/>
      <c r="G110" s="692"/>
      <c r="H110" s="71"/>
    </row>
    <row r="111" spans="1:6" s="140" customFormat="1" ht="13.5" customHeight="1">
      <c r="A111" s="813" t="s">
        <v>125</v>
      </c>
      <c r="B111" s="33" t="s">
        <v>8</v>
      </c>
      <c r="C111" s="34">
        <f>SUM(C112:C113)</f>
        <v>28400</v>
      </c>
      <c r="E111" s="225"/>
      <c r="F111" s="135"/>
    </row>
    <row r="112" spans="1:7" s="9" customFormat="1" ht="13.5" customHeight="1" hidden="1">
      <c r="A112" s="107" t="s">
        <v>102</v>
      </c>
      <c r="B112" s="25" t="s">
        <v>8</v>
      </c>
      <c r="C112" s="822">
        <v>21000</v>
      </c>
      <c r="E112" s="531"/>
      <c r="F112" s="697"/>
      <c r="G112" s="697"/>
    </row>
    <row r="113" spans="1:10" s="9" customFormat="1" ht="13.5" customHeight="1" hidden="1">
      <c r="A113" s="107" t="s">
        <v>100</v>
      </c>
      <c r="B113" s="25" t="s">
        <v>7</v>
      </c>
      <c r="C113" s="821">
        <v>7400</v>
      </c>
      <c r="D113" s="531"/>
      <c r="E113" s="530"/>
      <c r="F113" s="670"/>
      <c r="G113" s="692"/>
      <c r="H113" s="57"/>
      <c r="J113" s="123"/>
    </row>
    <row r="114" spans="1:10" s="9" customFormat="1" ht="13.5" customHeight="1" thickBot="1">
      <c r="A114" s="107"/>
      <c r="B114" s="25"/>
      <c r="C114" s="25"/>
      <c r="D114" s="531"/>
      <c r="E114" s="530"/>
      <c r="F114" s="670"/>
      <c r="G114" s="692"/>
      <c r="H114" s="57"/>
      <c r="J114" s="123"/>
    </row>
    <row r="115" spans="1:6" s="9" customFormat="1" ht="13.5" customHeight="1" thickBot="1">
      <c r="A115" s="951" t="s">
        <v>4</v>
      </c>
      <c r="B115" s="952"/>
      <c r="C115" s="662">
        <f>C116+C118</f>
        <v>46700</v>
      </c>
      <c r="D115" s="102"/>
      <c r="E115" s="10"/>
      <c r="F115" s="280"/>
    </row>
    <row r="116" spans="1:5" s="140" customFormat="1" ht="13.5" customHeight="1">
      <c r="A116" s="353" t="s">
        <v>126</v>
      </c>
      <c r="B116" s="286" t="s">
        <v>127</v>
      </c>
      <c r="C116" s="34">
        <f>SUM(C117)</f>
        <v>38700</v>
      </c>
      <c r="D116" s="135"/>
      <c r="E116" s="225"/>
    </row>
    <row r="117" spans="1:7" s="100" customFormat="1" ht="13.5" hidden="1">
      <c r="A117" s="105" t="s">
        <v>101</v>
      </c>
      <c r="B117" s="105" t="s">
        <v>152</v>
      </c>
      <c r="C117" s="822">
        <v>38700</v>
      </c>
      <c r="D117" s="676"/>
      <c r="E117" s="676"/>
      <c r="F117" s="676"/>
      <c r="G117" s="698"/>
    </row>
    <row r="118" spans="1:7" s="100" customFormat="1" ht="13.5">
      <c r="A118" s="353" t="s">
        <v>188</v>
      </c>
      <c r="B118" s="26" t="s">
        <v>145</v>
      </c>
      <c r="C118" s="96">
        <f>SUM(C119)</f>
        <v>8000</v>
      </c>
      <c r="D118" s="676"/>
      <c r="E118" s="676"/>
      <c r="F118" s="676"/>
      <c r="G118" s="698"/>
    </row>
    <row r="119" spans="1:7" s="100" customFormat="1" ht="13.5" hidden="1">
      <c r="A119" s="107" t="s">
        <v>189</v>
      </c>
      <c r="B119" s="24" t="s">
        <v>56</v>
      </c>
      <c r="C119" s="822">
        <v>8000</v>
      </c>
      <c r="D119" s="676"/>
      <c r="E119" s="676"/>
      <c r="F119" s="676"/>
      <c r="G119" s="698"/>
    </row>
    <row r="120" spans="1:6" s="7" customFormat="1" ht="13.5" customHeight="1">
      <c r="A120" s="107"/>
      <c r="B120" s="254"/>
      <c r="C120" s="28"/>
      <c r="D120" s="618"/>
      <c r="E120" s="228"/>
      <c r="F120" s="301"/>
    </row>
    <row r="121" spans="1:6" s="7" customFormat="1" ht="13.5" customHeight="1">
      <c r="A121" s="107"/>
      <c r="B121" s="254"/>
      <c r="C121" s="24"/>
      <c r="D121" s="315"/>
      <c r="E121" s="228"/>
      <c r="F121" s="301"/>
    </row>
    <row r="122" spans="1:6" s="7" customFormat="1" ht="13.5" customHeight="1">
      <c r="A122" s="107"/>
      <c r="B122" s="107"/>
      <c r="C122" s="25"/>
      <c r="D122" s="315"/>
      <c r="E122" s="228"/>
      <c r="F122" s="301"/>
    </row>
    <row r="123" spans="2:6" ht="13.5">
      <c r="B123" s="706"/>
      <c r="C123" s="432"/>
      <c r="D123" s="707"/>
      <c r="F123" s="709"/>
    </row>
    <row r="124" spans="2:5" ht="13.5">
      <c r="B124" s="715"/>
      <c r="C124" s="22"/>
      <c r="D124" s="714"/>
      <c r="E124" s="712"/>
    </row>
    <row r="125" spans="2:5" ht="13.5">
      <c r="B125" s="706"/>
      <c r="C125" s="432"/>
      <c r="D125" s="707"/>
      <c r="E125" s="712"/>
    </row>
    <row r="126" spans="2:5" ht="13.5">
      <c r="B126" s="706"/>
      <c r="C126" s="432"/>
      <c r="D126" s="707"/>
      <c r="E126" s="712"/>
    </row>
    <row r="140" spans="1:6" s="7" customFormat="1" ht="13.5" customHeight="1">
      <c r="A140" s="11"/>
      <c r="B140" s="249"/>
      <c r="C140" s="29"/>
      <c r="D140" s="316"/>
      <c r="E140" s="228"/>
      <c r="F140" s="301"/>
    </row>
    <row r="141" spans="1:6" s="7" customFormat="1" ht="13.5" customHeight="1">
      <c r="A141" s="11"/>
      <c r="B141" s="249"/>
      <c r="C141" s="29"/>
      <c r="D141" s="718"/>
      <c r="E141" s="228"/>
      <c r="F141" s="301"/>
    </row>
    <row r="142" spans="1:6" s="7" customFormat="1" ht="13.5" customHeight="1">
      <c r="A142" s="11"/>
      <c r="B142" s="249"/>
      <c r="C142" s="29"/>
      <c r="D142" s="718"/>
      <c r="E142" s="228"/>
      <c r="F142" s="301"/>
    </row>
    <row r="143" spans="1:6" s="7" customFormat="1" ht="13.5" customHeight="1">
      <c r="A143" s="11"/>
      <c r="B143" s="249"/>
      <c r="C143" s="29"/>
      <c r="D143" s="718"/>
      <c r="E143" s="228"/>
      <c r="F143" s="301"/>
    </row>
    <row r="144" spans="1:6" s="7" customFormat="1" ht="13.5" customHeight="1">
      <c r="A144" s="11"/>
      <c r="B144" s="249"/>
      <c r="C144" s="29"/>
      <c r="D144" s="718"/>
      <c r="E144" s="228"/>
      <c r="F144" s="301"/>
    </row>
    <row r="145" spans="1:6" s="7" customFormat="1" ht="13.5" customHeight="1">
      <c r="A145" s="11"/>
      <c r="B145" s="249"/>
      <c r="C145" s="29"/>
      <c r="D145" s="718"/>
      <c r="E145" s="228"/>
      <c r="F145" s="301"/>
    </row>
    <row r="146" spans="1:6" s="7" customFormat="1" ht="13.5" customHeight="1">
      <c r="A146" s="11"/>
      <c r="B146" s="249"/>
      <c r="C146" s="29"/>
      <c r="D146" s="718"/>
      <c r="E146" s="228"/>
      <c r="F146" s="301"/>
    </row>
    <row r="147" spans="1:6" s="7" customFormat="1" ht="13.5" customHeight="1">
      <c r="A147" s="11"/>
      <c r="B147" s="249"/>
      <c r="C147" s="29"/>
      <c r="D147" s="718"/>
      <c r="E147" s="228"/>
      <c r="F147" s="301"/>
    </row>
    <row r="148" spans="1:6" s="7" customFormat="1" ht="13.5" customHeight="1">
      <c r="A148" s="11"/>
      <c r="B148" s="249"/>
      <c r="C148" s="29"/>
      <c r="D148" s="718"/>
      <c r="E148" s="228"/>
      <c r="F148" s="301"/>
    </row>
    <row r="149" spans="1:6" s="7" customFormat="1" ht="13.5" customHeight="1">
      <c r="A149" s="11"/>
      <c r="B149" s="249"/>
      <c r="C149" s="29"/>
      <c r="D149" s="718"/>
      <c r="E149" s="228"/>
      <c r="F149" s="301"/>
    </row>
    <row r="150" spans="1:6" s="7" customFormat="1" ht="13.5" customHeight="1">
      <c r="A150" s="11"/>
      <c r="B150" s="249"/>
      <c r="C150" s="29"/>
      <c r="D150" s="718"/>
      <c r="E150" s="228"/>
      <c r="F150" s="301"/>
    </row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</sheetData>
  <sheetProtection/>
  <mergeCells count="7">
    <mergeCell ref="A115:B115"/>
    <mergeCell ref="A19:B19"/>
    <mergeCell ref="A42:B42"/>
    <mergeCell ref="A58:B58"/>
    <mergeCell ref="A81:B81"/>
    <mergeCell ref="A100:B100"/>
    <mergeCell ref="A108:B108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>
    <oddHeader>&amp;L&amp;"Arial Narrow,Normal"&amp;8Presupuesto Municipal 2016
&amp;R&amp;"Arial Narrow,Normal"&amp;8MUNICIPALIDAD DE VILLA MARÍA
Secretaría de Economía y Administración</oddHeader>
    <oddFooter>&amp;C&amp;"Arial Narrow,Normal"&amp;8Asesoría Letrada
Página &amp;P de &amp;N</oddFooter>
  </headerFooter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3"/>
  <sheetViews>
    <sheetView workbookViewId="0" topLeftCell="A170">
      <selection activeCell="E197" sqref="E197"/>
    </sheetView>
  </sheetViews>
  <sheetFormatPr defaultColWidth="11.421875" defaultRowHeight="12.75"/>
  <cols>
    <col min="1" max="1" width="9.7109375" style="68" customWidth="1"/>
    <col min="2" max="2" width="46.7109375" style="68" customWidth="1"/>
    <col min="3" max="3" width="12.7109375" style="94" customWidth="1"/>
    <col min="4" max="4" width="10.7109375" style="94" customWidth="1"/>
    <col min="5" max="5" width="13.7109375" style="739" customWidth="1"/>
    <col min="6" max="6" width="13.421875" style="68" customWidth="1"/>
    <col min="7" max="7" width="18.421875" style="68" bestFit="1" customWidth="1"/>
    <col min="8" max="16384" width="11.421875" style="68" customWidth="1"/>
  </cols>
  <sheetData>
    <row r="1" ht="13.5">
      <c r="A1" s="630" t="s">
        <v>1137</v>
      </c>
    </row>
    <row r="2" ht="13.5">
      <c r="A2" s="630"/>
    </row>
    <row r="3" ht="14.25" thickBot="1"/>
    <row r="4" spans="1:5" ht="12.75">
      <c r="A4" s="72" t="s">
        <v>1138</v>
      </c>
      <c r="B4" s="73"/>
      <c r="C4" s="74"/>
      <c r="D4" s="75" t="s">
        <v>6</v>
      </c>
      <c r="E4" s="740" t="s">
        <v>1139</v>
      </c>
    </row>
    <row r="5" spans="1:5" ht="13.5" thickBot="1">
      <c r="A5" s="81"/>
      <c r="B5" s="82"/>
      <c r="C5" s="83"/>
      <c r="D5" s="174"/>
      <c r="E5" s="741"/>
    </row>
    <row r="6" spans="1:5" s="631" customFormat="1" ht="13.5">
      <c r="A6" s="85" t="s">
        <v>1365</v>
      </c>
      <c r="B6" s="86"/>
      <c r="C6" s="87"/>
      <c r="D6" s="87"/>
      <c r="E6" s="742"/>
    </row>
    <row r="7" spans="1:5" s="631" customFormat="1" ht="13.5">
      <c r="A7" s="85" t="s">
        <v>1140</v>
      </c>
      <c r="B7" s="86"/>
      <c r="C7" s="87"/>
      <c r="D7" s="87"/>
      <c r="E7" s="742"/>
    </row>
    <row r="8" spans="1:5" s="631" customFormat="1" ht="13.5">
      <c r="A8" s="85" t="s">
        <v>1389</v>
      </c>
      <c r="B8" s="86"/>
      <c r="C8" s="87"/>
      <c r="D8" s="87"/>
      <c r="E8" s="742"/>
    </row>
    <row r="9" spans="1:5" s="631" customFormat="1" ht="14.25" thickBot="1">
      <c r="A9" s="85" t="s">
        <v>16</v>
      </c>
      <c r="B9" s="86"/>
      <c r="C9" s="87"/>
      <c r="D9" s="87"/>
      <c r="E9" s="742"/>
    </row>
    <row r="10" spans="1:7" s="631" customFormat="1" ht="14.25" thickBot="1">
      <c r="A10" s="89" t="s">
        <v>17</v>
      </c>
      <c r="B10" s="90"/>
      <c r="C10" s="91"/>
      <c r="D10" s="92"/>
      <c r="E10" s="743">
        <f>C12+D45+D109</f>
        <v>7420101</v>
      </c>
      <c r="F10" s="327"/>
      <c r="G10" s="327"/>
    </row>
    <row r="11" spans="1:5" s="318" customFormat="1" ht="14.25" thickBot="1">
      <c r="A11" s="95"/>
      <c r="B11" s="95"/>
      <c r="C11" s="96"/>
      <c r="D11" s="96"/>
      <c r="E11" s="744"/>
    </row>
    <row r="12" spans="1:5" s="318" customFormat="1" ht="14.25" thickBot="1">
      <c r="A12" s="961" t="s">
        <v>1</v>
      </c>
      <c r="B12" s="962"/>
      <c r="C12" s="259">
        <f>C13+C20+C27</f>
        <v>5880401</v>
      </c>
      <c r="D12" s="96"/>
      <c r="E12" s="744"/>
    </row>
    <row r="13" spans="1:6" s="57" customFormat="1" ht="12.75" customHeight="1">
      <c r="A13" s="12" t="s">
        <v>107</v>
      </c>
      <c r="B13" s="286" t="s">
        <v>108</v>
      </c>
      <c r="C13" s="33">
        <f>SUM(C14:C19)</f>
        <v>514879</v>
      </c>
      <c r="D13" s="23"/>
      <c r="E13" s="25"/>
      <c r="F13" s="135"/>
    </row>
    <row r="14" spans="1:6" s="9" customFormat="1" ht="12.75" customHeight="1" hidden="1">
      <c r="A14" s="13" t="s">
        <v>27</v>
      </c>
      <c r="B14" s="25" t="s">
        <v>24</v>
      </c>
      <c r="C14" s="821">
        <v>380082</v>
      </c>
      <c r="D14" s="23"/>
      <c r="E14" s="26"/>
      <c r="F14" s="132"/>
    </row>
    <row r="15" spans="1:6" s="9" customFormat="1" ht="12.75" customHeight="1" hidden="1">
      <c r="A15" s="13" t="s">
        <v>28</v>
      </c>
      <c r="B15" s="25" t="s">
        <v>26</v>
      </c>
      <c r="C15" s="821">
        <f>76016+17104</f>
        <v>93120</v>
      </c>
      <c r="D15" s="23"/>
      <c r="E15" s="26"/>
      <c r="F15" s="132"/>
    </row>
    <row r="16" spans="1:6" s="10" customFormat="1" ht="12.75" customHeight="1" hidden="1">
      <c r="A16" s="13" t="s">
        <v>29</v>
      </c>
      <c r="B16" s="25" t="s">
        <v>86</v>
      </c>
      <c r="C16" s="821">
        <f>25000+15849+825</f>
        <v>41674</v>
      </c>
      <c r="D16" s="23"/>
      <c r="E16" s="26"/>
      <c r="F16" s="132"/>
    </row>
    <row r="17" spans="1:6" s="10" customFormat="1" ht="12.75" customHeight="1" hidden="1">
      <c r="A17" s="13" t="s">
        <v>30</v>
      </c>
      <c r="B17" s="25" t="s">
        <v>87</v>
      </c>
      <c r="C17" s="821">
        <v>1</v>
      </c>
      <c r="D17" s="23"/>
      <c r="E17" s="26"/>
      <c r="F17" s="132"/>
    </row>
    <row r="18" spans="1:6" s="10" customFormat="1" ht="12.75" customHeight="1" hidden="1">
      <c r="A18" s="13" t="s">
        <v>31</v>
      </c>
      <c r="B18" s="25" t="s">
        <v>25</v>
      </c>
      <c r="C18" s="821">
        <v>1</v>
      </c>
      <c r="D18" s="23"/>
      <c r="E18" s="26"/>
      <c r="F18" s="132"/>
    </row>
    <row r="19" spans="1:6" s="10" customFormat="1" ht="12.75" customHeight="1" hidden="1">
      <c r="A19" s="13" t="s">
        <v>32</v>
      </c>
      <c r="B19" s="25" t="s">
        <v>23</v>
      </c>
      <c r="C19" s="821">
        <v>1</v>
      </c>
      <c r="D19" s="23"/>
      <c r="E19" s="26"/>
      <c r="F19" s="132"/>
    </row>
    <row r="20" spans="1:6" s="10" customFormat="1" ht="12.75" customHeight="1">
      <c r="A20" s="12" t="s">
        <v>109</v>
      </c>
      <c r="B20" s="33" t="s">
        <v>110</v>
      </c>
      <c r="C20" s="33">
        <f>SUM(C21:C26)</f>
        <v>4077685</v>
      </c>
      <c r="D20" s="23"/>
      <c r="E20" s="26"/>
      <c r="F20" s="132"/>
    </row>
    <row r="21" spans="1:6" s="10" customFormat="1" ht="12.75" customHeight="1" hidden="1">
      <c r="A21" s="13" t="s">
        <v>34</v>
      </c>
      <c r="B21" s="25" t="s">
        <v>88</v>
      </c>
      <c r="C21" s="821">
        <v>3157096</v>
      </c>
      <c r="D21" s="23"/>
      <c r="E21" s="26"/>
      <c r="F21" s="133"/>
    </row>
    <row r="22" spans="1:8" s="9" customFormat="1" ht="12.75" customHeight="1" hidden="1">
      <c r="A22" s="13" t="s">
        <v>35</v>
      </c>
      <c r="B22" s="25" t="s">
        <v>89</v>
      </c>
      <c r="C22" s="821">
        <f>631419+142069</f>
        <v>773488</v>
      </c>
      <c r="D22" s="23"/>
      <c r="E22" s="26"/>
      <c r="F22" s="70"/>
      <c r="G22" s="57"/>
      <c r="H22" s="57"/>
    </row>
    <row r="23" spans="1:6" s="9" customFormat="1" ht="12.75" customHeight="1" hidden="1">
      <c r="A23" s="13" t="s">
        <v>36</v>
      </c>
      <c r="B23" s="25" t="s">
        <v>90</v>
      </c>
      <c r="C23" s="821">
        <f>131395+1100</f>
        <v>132495</v>
      </c>
      <c r="D23" s="23"/>
      <c r="E23" s="26"/>
      <c r="F23" s="132"/>
    </row>
    <row r="24" spans="1:6" s="10" customFormat="1" ht="12.75" customHeight="1" hidden="1">
      <c r="A24" s="13" t="s">
        <v>37</v>
      </c>
      <c r="B24" s="25" t="s">
        <v>91</v>
      </c>
      <c r="C24" s="821">
        <v>1</v>
      </c>
      <c r="D24" s="23"/>
      <c r="E24" s="26"/>
      <c r="F24" s="132"/>
    </row>
    <row r="25" spans="1:6" s="10" customFormat="1" ht="12.75" customHeight="1" hidden="1">
      <c r="A25" s="13" t="s">
        <v>38</v>
      </c>
      <c r="B25" s="25" t="s">
        <v>33</v>
      </c>
      <c r="C25" s="821">
        <f>14604</f>
        <v>14604</v>
      </c>
      <c r="D25" s="23"/>
      <c r="E25" s="26"/>
      <c r="F25" s="132"/>
    </row>
    <row r="26" spans="1:6" s="10" customFormat="1" ht="12.75" customHeight="1" hidden="1">
      <c r="A26" s="13" t="s">
        <v>93</v>
      </c>
      <c r="B26" s="25" t="s">
        <v>92</v>
      </c>
      <c r="C26" s="821">
        <v>1</v>
      </c>
      <c r="D26" s="23"/>
      <c r="E26" s="26"/>
      <c r="F26" s="133"/>
    </row>
    <row r="27" spans="1:6" s="10" customFormat="1" ht="12.75" customHeight="1">
      <c r="A27" s="12" t="s">
        <v>111</v>
      </c>
      <c r="B27" s="33" t="s">
        <v>112</v>
      </c>
      <c r="C27" s="33">
        <f>SUM(C28:C33)</f>
        <v>1287837</v>
      </c>
      <c r="D27" s="23"/>
      <c r="E27" s="26"/>
      <c r="F27" s="133"/>
    </row>
    <row r="28" spans="1:6" s="9" customFormat="1" ht="12.75" customHeight="1" hidden="1">
      <c r="A28" s="13" t="s">
        <v>43</v>
      </c>
      <c r="B28" s="25" t="s">
        <v>39</v>
      </c>
      <c r="C28" s="821">
        <v>996004</v>
      </c>
      <c r="D28" s="23"/>
      <c r="E28" s="26"/>
      <c r="F28" s="132"/>
    </row>
    <row r="29" spans="1:6" s="9" customFormat="1" ht="12.75" customHeight="1" hidden="1">
      <c r="A29" s="13" t="s">
        <v>44</v>
      </c>
      <c r="B29" s="25" t="s">
        <v>41</v>
      </c>
      <c r="C29" s="821">
        <f>199201+44820</f>
        <v>244021</v>
      </c>
      <c r="D29" s="23"/>
      <c r="E29" s="26"/>
      <c r="F29" s="132"/>
    </row>
    <row r="30" spans="1:6" s="10" customFormat="1" ht="12.75" customHeight="1" hidden="1">
      <c r="A30" s="13" t="s">
        <v>45</v>
      </c>
      <c r="B30" s="25" t="s">
        <v>94</v>
      </c>
      <c r="C30" s="821">
        <f>41554+2200</f>
        <v>43754</v>
      </c>
      <c r="D30" s="23"/>
      <c r="E30" s="26"/>
      <c r="F30" s="132"/>
    </row>
    <row r="31" spans="1:6" s="10" customFormat="1" ht="12.75" customHeight="1" hidden="1">
      <c r="A31" s="13" t="s">
        <v>46</v>
      </c>
      <c r="B31" s="25" t="s">
        <v>95</v>
      </c>
      <c r="C31" s="821">
        <v>1</v>
      </c>
      <c r="D31" s="23"/>
      <c r="E31" s="26"/>
      <c r="F31" s="132"/>
    </row>
    <row r="32" spans="1:6" s="10" customFormat="1" ht="12.75" customHeight="1" hidden="1">
      <c r="A32" s="13" t="s">
        <v>47</v>
      </c>
      <c r="B32" s="25" t="s">
        <v>40</v>
      </c>
      <c r="C32" s="821">
        <f>4056</f>
        <v>4056</v>
      </c>
      <c r="D32" s="23"/>
      <c r="E32" s="26"/>
      <c r="F32" s="132"/>
    </row>
    <row r="33" spans="1:6" s="10" customFormat="1" ht="12.75" customHeight="1" hidden="1">
      <c r="A33" s="13" t="s">
        <v>48</v>
      </c>
      <c r="B33" s="25" t="s">
        <v>42</v>
      </c>
      <c r="C33" s="821">
        <v>1</v>
      </c>
      <c r="D33" s="23"/>
      <c r="E33" s="26"/>
      <c r="F33" s="132"/>
    </row>
    <row r="34" spans="1:6" s="10" customFormat="1" ht="12.75" customHeight="1">
      <c r="A34" s="13"/>
      <c r="B34" s="25"/>
      <c r="C34" s="25"/>
      <c r="D34" s="23"/>
      <c r="E34" s="26"/>
      <c r="F34" s="132"/>
    </row>
    <row r="35" spans="1:6" s="10" customFormat="1" ht="12.75" customHeight="1" thickBot="1">
      <c r="A35" s="13"/>
      <c r="B35" s="25"/>
      <c r="C35" s="25"/>
      <c r="D35" s="23"/>
      <c r="E35" s="26"/>
      <c r="F35" s="132"/>
    </row>
    <row r="36" spans="1:4" ht="13.5">
      <c r="A36" s="72" t="s">
        <v>1141</v>
      </c>
      <c r="B36" s="73"/>
      <c r="C36" s="75" t="s">
        <v>6</v>
      </c>
      <c r="D36" s="76" t="s">
        <v>1142</v>
      </c>
    </row>
    <row r="37" spans="1:4" ht="13.5">
      <c r="A37" s="77"/>
      <c r="B37" s="323" t="s">
        <v>1143</v>
      </c>
      <c r="C37" s="634"/>
      <c r="D37" s="635"/>
    </row>
    <row r="38" spans="1:4" ht="14.25" thickBot="1">
      <c r="A38" s="81" t="s">
        <v>1144</v>
      </c>
      <c r="B38" s="82" t="s">
        <v>1145</v>
      </c>
      <c r="C38" s="174"/>
      <c r="D38" s="173"/>
    </row>
    <row r="39" spans="1:5" s="631" customFormat="1" ht="13.5">
      <c r="A39" s="72" t="s">
        <v>1390</v>
      </c>
      <c r="B39" s="241"/>
      <c r="C39" s="240"/>
      <c r="D39" s="239"/>
      <c r="E39" s="87"/>
    </row>
    <row r="40" spans="1:6" s="631" customFormat="1" ht="14.25" thickBot="1">
      <c r="A40" s="81" t="s">
        <v>1391</v>
      </c>
      <c r="B40" s="237"/>
      <c r="C40" s="236"/>
      <c r="D40" s="235"/>
      <c r="E40" s="87"/>
      <c r="F40" s="842"/>
    </row>
    <row r="41" spans="1:4" ht="13.5">
      <c r="A41" s="85" t="s">
        <v>1365</v>
      </c>
      <c r="B41" s="86"/>
      <c r="C41" s="87"/>
      <c r="D41" s="88"/>
    </row>
    <row r="42" spans="1:4" ht="13.5">
      <c r="A42" s="85" t="s">
        <v>1140</v>
      </c>
      <c r="B42" s="86"/>
      <c r="C42" s="87"/>
      <c r="D42" s="88"/>
    </row>
    <row r="43" spans="1:4" ht="13.5">
      <c r="A43" s="85" t="s">
        <v>1388</v>
      </c>
      <c r="B43" s="86"/>
      <c r="C43" s="87"/>
      <c r="D43" s="88"/>
    </row>
    <row r="44" spans="1:4" ht="14.25" thickBot="1">
      <c r="A44" s="85" t="s">
        <v>16</v>
      </c>
      <c r="B44" s="86"/>
      <c r="C44" s="87"/>
      <c r="D44" s="88"/>
    </row>
    <row r="45" spans="1:7" ht="14.25" thickBot="1">
      <c r="A45" s="89" t="s">
        <v>1146</v>
      </c>
      <c r="B45" s="90"/>
      <c r="C45" s="92"/>
      <c r="D45" s="93">
        <f>C47+C64+C91</f>
        <v>772350</v>
      </c>
      <c r="G45" s="94"/>
    </row>
    <row r="46" spans="1:5" ht="14.25" thickBot="1">
      <c r="A46" s="86"/>
      <c r="B46" s="105"/>
      <c r="D46" s="745"/>
      <c r="E46" s="746"/>
    </row>
    <row r="47" spans="1:5" ht="14.25" thickBot="1">
      <c r="A47" s="955" t="s">
        <v>2</v>
      </c>
      <c r="B47" s="956"/>
      <c r="C47" s="97">
        <f>C48+C50+C52+C55+C57+C59</f>
        <v>75200</v>
      </c>
      <c r="E47" s="747"/>
    </row>
    <row r="48" spans="1:5" s="104" customFormat="1" ht="13.5">
      <c r="A48" s="12" t="s">
        <v>113</v>
      </c>
      <c r="B48" s="286" t="s">
        <v>114</v>
      </c>
      <c r="C48" s="96">
        <f>SUM(C49)</f>
        <v>5200</v>
      </c>
      <c r="D48" s="99"/>
      <c r="E48" s="313"/>
    </row>
    <row r="49" spans="1:7" s="57" customFormat="1" ht="13.5" customHeight="1" hidden="1">
      <c r="A49" s="13" t="s">
        <v>50</v>
      </c>
      <c r="B49" s="57" t="s">
        <v>49</v>
      </c>
      <c r="C49" s="821">
        <v>5200</v>
      </c>
      <c r="E49" s="33"/>
      <c r="F49" s="137"/>
      <c r="G49" s="71"/>
    </row>
    <row r="50" spans="1:7" s="57" customFormat="1" ht="13.5" customHeight="1">
      <c r="A50" s="353" t="s">
        <v>223</v>
      </c>
      <c r="B50" s="404" t="s">
        <v>272</v>
      </c>
      <c r="C50" s="33">
        <f>SUM(C51)</f>
        <v>3300</v>
      </c>
      <c r="D50" s="23"/>
      <c r="E50" s="33"/>
      <c r="G50" s="71"/>
    </row>
    <row r="51" spans="1:7" s="57" customFormat="1" ht="13.5" customHeight="1" hidden="1">
      <c r="A51" s="105" t="s">
        <v>221</v>
      </c>
      <c r="B51" s="86" t="s">
        <v>220</v>
      </c>
      <c r="C51" s="822">
        <v>3300</v>
      </c>
      <c r="D51" s="23"/>
      <c r="E51" s="33"/>
      <c r="G51" s="71"/>
    </row>
    <row r="52" spans="1:7" s="57" customFormat="1" ht="13.5" customHeight="1">
      <c r="A52" s="12" t="s">
        <v>115</v>
      </c>
      <c r="B52" s="791" t="s">
        <v>116</v>
      </c>
      <c r="C52" s="811">
        <f>SUM(C53:C54)</f>
        <v>7350</v>
      </c>
      <c r="D52" s="23"/>
      <c r="E52" s="33"/>
      <c r="G52" s="71"/>
    </row>
    <row r="53" spans="1:7" s="57" customFormat="1" ht="13.5" customHeight="1" hidden="1">
      <c r="A53" s="13" t="s">
        <v>72</v>
      </c>
      <c r="B53" s="57" t="s">
        <v>73</v>
      </c>
      <c r="C53" s="821">
        <v>3500</v>
      </c>
      <c r="D53" s="23"/>
      <c r="E53" s="33"/>
      <c r="G53" s="71"/>
    </row>
    <row r="54" spans="1:7" s="57" customFormat="1" ht="13.5" customHeight="1" hidden="1">
      <c r="A54" s="13" t="s">
        <v>96</v>
      </c>
      <c r="B54" s="57" t="s">
        <v>71</v>
      </c>
      <c r="C54" s="821">
        <v>3850</v>
      </c>
      <c r="D54" s="23"/>
      <c r="E54" s="33"/>
      <c r="G54" s="71"/>
    </row>
    <row r="55" spans="1:7" s="57" customFormat="1" ht="13.5" customHeight="1">
      <c r="A55" s="12" t="s">
        <v>117</v>
      </c>
      <c r="B55" s="791" t="s">
        <v>118</v>
      </c>
      <c r="C55" s="33">
        <f>SUM(C56)</f>
        <v>44000</v>
      </c>
      <c r="D55" s="23"/>
      <c r="E55" s="33"/>
      <c r="G55" s="71"/>
    </row>
    <row r="56" spans="1:8" s="9" customFormat="1" ht="13.5" customHeight="1" hidden="1">
      <c r="A56" s="13" t="s">
        <v>51</v>
      </c>
      <c r="B56" s="25" t="s">
        <v>52</v>
      </c>
      <c r="C56" s="821">
        <v>44000</v>
      </c>
      <c r="D56" s="115"/>
      <c r="E56" s="26"/>
      <c r="F56" s="140"/>
      <c r="G56" s="71"/>
      <c r="H56" s="57"/>
    </row>
    <row r="57" spans="1:8" s="9" customFormat="1" ht="13.5" customHeight="1">
      <c r="A57" s="353" t="s">
        <v>134</v>
      </c>
      <c r="B57" s="33" t="s">
        <v>133</v>
      </c>
      <c r="C57" s="26">
        <f>SUM(C58)</f>
        <v>4000</v>
      </c>
      <c r="D57" s="115"/>
      <c r="E57" s="26"/>
      <c r="F57" s="140"/>
      <c r="G57" s="71"/>
      <c r="H57" s="57"/>
    </row>
    <row r="58" spans="1:5" s="100" customFormat="1" ht="13.5" hidden="1">
      <c r="A58" s="107" t="s">
        <v>103</v>
      </c>
      <c r="B58" s="24" t="s">
        <v>78</v>
      </c>
      <c r="C58" s="822">
        <v>4000</v>
      </c>
      <c r="D58" s="102"/>
      <c r="E58" s="102"/>
    </row>
    <row r="59" spans="1:5" s="100" customFormat="1" ht="13.5">
      <c r="A59" s="353" t="s">
        <v>169</v>
      </c>
      <c r="B59" s="33" t="s">
        <v>135</v>
      </c>
      <c r="C59" s="96">
        <f>SUM(C60:C62)</f>
        <v>11350</v>
      </c>
      <c r="D59" s="102"/>
      <c r="E59" s="102"/>
    </row>
    <row r="60" spans="1:8" s="9" customFormat="1" ht="13.5" customHeight="1" hidden="1">
      <c r="A60" s="107" t="s">
        <v>170</v>
      </c>
      <c r="B60" s="25" t="s">
        <v>70</v>
      </c>
      <c r="C60" s="821">
        <v>2500</v>
      </c>
      <c r="D60" s="115"/>
      <c r="E60" s="26"/>
      <c r="F60" s="140"/>
      <c r="G60" s="71"/>
      <c r="H60" s="57"/>
    </row>
    <row r="61" spans="1:8" s="9" customFormat="1" ht="13.5" customHeight="1" hidden="1">
      <c r="A61" s="107" t="s">
        <v>171</v>
      </c>
      <c r="B61" s="25" t="s">
        <v>75</v>
      </c>
      <c r="C61" s="821">
        <v>1500</v>
      </c>
      <c r="D61" s="115"/>
      <c r="E61" s="26"/>
      <c r="F61" s="140"/>
      <c r="G61" s="71"/>
      <c r="H61" s="57"/>
    </row>
    <row r="62" spans="1:8" s="9" customFormat="1" ht="13.5" customHeight="1" hidden="1">
      <c r="A62" s="13" t="s">
        <v>172</v>
      </c>
      <c r="B62" s="25" t="s">
        <v>135</v>
      </c>
      <c r="C62" s="821">
        <v>7350</v>
      </c>
      <c r="D62" s="23"/>
      <c r="E62" s="26"/>
      <c r="F62" s="140"/>
      <c r="G62" s="71"/>
      <c r="H62" s="57"/>
    </row>
    <row r="63" spans="1:8" s="9" customFormat="1" ht="13.5" customHeight="1" thickBot="1">
      <c r="A63" s="107"/>
      <c r="B63" s="25"/>
      <c r="C63" s="24"/>
      <c r="D63" s="115"/>
      <c r="E63" s="26"/>
      <c r="F63" s="286"/>
      <c r="G63" s="71"/>
      <c r="H63" s="109"/>
    </row>
    <row r="64" spans="1:5" s="100" customFormat="1" ht="14.25" thickBot="1">
      <c r="A64" s="957" t="s">
        <v>3</v>
      </c>
      <c r="B64" s="958"/>
      <c r="C64" s="98">
        <f>C65+C71+C74+C78+C81+C83+C85</f>
        <v>645650</v>
      </c>
      <c r="D64" s="102"/>
      <c r="E64" s="124"/>
    </row>
    <row r="65" spans="1:5" s="78" customFormat="1" ht="13.5">
      <c r="A65" s="353" t="s">
        <v>552</v>
      </c>
      <c r="B65" s="286" t="s">
        <v>553</v>
      </c>
      <c r="C65" s="96">
        <f>SUM(C66:C70)</f>
        <v>367300</v>
      </c>
      <c r="D65" s="79"/>
      <c r="E65" s="252"/>
    </row>
    <row r="66" spans="1:6" s="100" customFormat="1" ht="13.5" hidden="1">
      <c r="A66" s="107" t="s">
        <v>554</v>
      </c>
      <c r="B66" s="86" t="s">
        <v>555</v>
      </c>
      <c r="C66" s="822">
        <v>2100</v>
      </c>
      <c r="D66" s="96"/>
      <c r="E66" s="79"/>
      <c r="F66" s="79"/>
    </row>
    <row r="67" spans="1:8" s="9" customFormat="1" ht="13.5" customHeight="1" hidden="1">
      <c r="A67" s="107" t="s">
        <v>556</v>
      </c>
      <c r="B67" s="86" t="s">
        <v>557</v>
      </c>
      <c r="C67" s="821">
        <v>1850</v>
      </c>
      <c r="D67" s="115"/>
      <c r="F67" s="280"/>
      <c r="G67" s="71"/>
      <c r="H67" s="71"/>
    </row>
    <row r="68" spans="1:8" s="9" customFormat="1" ht="13.5" customHeight="1" hidden="1">
      <c r="A68" s="107" t="s">
        <v>558</v>
      </c>
      <c r="B68" s="86" t="s">
        <v>559</v>
      </c>
      <c r="C68" s="821">
        <v>2500</v>
      </c>
      <c r="D68" s="115"/>
      <c r="E68" s="26"/>
      <c r="F68" s="280"/>
      <c r="G68" s="71"/>
      <c r="H68" s="71"/>
    </row>
    <row r="69" spans="1:10" s="9" customFormat="1" ht="13.5" customHeight="1" hidden="1">
      <c r="A69" s="107" t="s">
        <v>621</v>
      </c>
      <c r="B69" s="86" t="s">
        <v>1111</v>
      </c>
      <c r="C69" s="821">
        <v>6850</v>
      </c>
      <c r="D69" s="115"/>
      <c r="E69" s="26"/>
      <c r="F69" s="140"/>
      <c r="G69" s="71"/>
      <c r="H69" s="57"/>
      <c r="J69" s="123"/>
    </row>
    <row r="70" spans="1:9" s="9" customFormat="1" ht="13.5" customHeight="1" hidden="1">
      <c r="A70" s="107" t="s">
        <v>560</v>
      </c>
      <c r="B70" s="86" t="s">
        <v>561</v>
      </c>
      <c r="C70" s="821">
        <v>354000</v>
      </c>
      <c r="F70" s="115"/>
      <c r="G70" s="26"/>
      <c r="H70" s="140"/>
      <c r="I70" s="123"/>
    </row>
    <row r="71" spans="1:9" s="9" customFormat="1" ht="13.5" customHeight="1">
      <c r="A71" s="353" t="s">
        <v>120</v>
      </c>
      <c r="B71" s="95" t="s">
        <v>121</v>
      </c>
      <c r="C71" s="33">
        <f>SUM(C72:C73)</f>
        <v>68300</v>
      </c>
      <c r="F71" s="115"/>
      <c r="G71" s="26"/>
      <c r="H71" s="140"/>
      <c r="I71" s="123"/>
    </row>
    <row r="72" spans="1:9" s="9" customFormat="1" ht="13.5" customHeight="1" hidden="1">
      <c r="A72" s="107" t="s">
        <v>179</v>
      </c>
      <c r="B72" s="86" t="s">
        <v>178</v>
      </c>
      <c r="C72" s="821">
        <f>8800*6+5000</f>
        <v>57800</v>
      </c>
      <c r="F72" s="26"/>
      <c r="H72" s="25"/>
      <c r="I72" s="123"/>
    </row>
    <row r="73" spans="1:8" s="9" customFormat="1" ht="13.5" customHeight="1" hidden="1">
      <c r="A73" s="86" t="s">
        <v>57</v>
      </c>
      <c r="B73" s="86" t="s">
        <v>18</v>
      </c>
      <c r="C73" s="821">
        <v>10500</v>
      </c>
      <c r="F73" s="124"/>
      <c r="G73" s="26"/>
      <c r="H73" s="140"/>
    </row>
    <row r="74" spans="1:9" s="9" customFormat="1" ht="13.5" customHeight="1">
      <c r="A74" s="95" t="s">
        <v>130</v>
      </c>
      <c r="B74" s="95" t="s">
        <v>131</v>
      </c>
      <c r="C74" s="33">
        <f>SUM(C75:C77)</f>
        <v>52000</v>
      </c>
      <c r="F74" s="115"/>
      <c r="G74" s="26"/>
      <c r="H74" s="140"/>
      <c r="I74" s="123"/>
    </row>
    <row r="75" spans="1:9" s="9" customFormat="1" ht="13.5" customHeight="1" hidden="1">
      <c r="A75" s="86" t="s">
        <v>327</v>
      </c>
      <c r="B75" s="57" t="s">
        <v>328</v>
      </c>
      <c r="C75" s="821">
        <v>31000</v>
      </c>
      <c r="F75" s="116"/>
      <c r="G75" s="26"/>
      <c r="H75" s="140"/>
      <c r="I75" s="123"/>
    </row>
    <row r="76" spans="1:9" s="9" customFormat="1" ht="13.5" customHeight="1" hidden="1">
      <c r="A76" s="86" t="s">
        <v>300</v>
      </c>
      <c r="B76" s="57" t="s">
        <v>301</v>
      </c>
      <c r="C76" s="821">
        <v>13500</v>
      </c>
      <c r="F76" s="116"/>
      <c r="G76" s="26"/>
      <c r="H76" s="140"/>
      <c r="I76" s="123"/>
    </row>
    <row r="77" spans="1:9" s="9" customFormat="1" ht="13.5" customHeight="1" hidden="1">
      <c r="A77" s="86" t="s">
        <v>148</v>
      </c>
      <c r="B77" s="86" t="s">
        <v>77</v>
      </c>
      <c r="C77" s="821">
        <v>7500</v>
      </c>
      <c r="F77" s="115"/>
      <c r="G77" s="26"/>
      <c r="H77" s="140"/>
      <c r="I77" s="123"/>
    </row>
    <row r="78" spans="1:256" s="78" customFormat="1" ht="13.5">
      <c r="A78" s="353" t="s">
        <v>122</v>
      </c>
      <c r="B78" s="812" t="s">
        <v>175</v>
      </c>
      <c r="C78" s="33">
        <f>SUM(C79:C80)</f>
        <v>16500</v>
      </c>
      <c r="F78" s="26"/>
      <c r="G78" s="287"/>
      <c r="H78" s="748"/>
      <c r="I78" s="287"/>
      <c r="J78" s="748"/>
      <c r="K78" s="287"/>
      <c r="L78" s="748"/>
      <c r="M78" s="287"/>
      <c r="N78" s="748"/>
      <c r="O78" s="287"/>
      <c r="P78" s="748"/>
      <c r="Q78" s="287"/>
      <c r="R78" s="748"/>
      <c r="S78" s="287"/>
      <c r="T78" s="748"/>
      <c r="U78" s="287"/>
      <c r="V78" s="748"/>
      <c r="W78" s="287"/>
      <c r="X78" s="748"/>
      <c r="Y78" s="287"/>
      <c r="Z78" s="748"/>
      <c r="AA78" s="287"/>
      <c r="AB78" s="748"/>
      <c r="AC78" s="287"/>
      <c r="AD78" s="748"/>
      <c r="AE78" s="287"/>
      <c r="AF78" s="748"/>
      <c r="AG78" s="287"/>
      <c r="AH78" s="748"/>
      <c r="AI78" s="287"/>
      <c r="AJ78" s="748"/>
      <c r="AK78" s="287"/>
      <c r="AL78" s="748"/>
      <c r="AM78" s="287"/>
      <c r="AN78" s="748"/>
      <c r="AO78" s="287"/>
      <c r="AP78" s="748"/>
      <c r="AQ78" s="287"/>
      <c r="AR78" s="748"/>
      <c r="AS78" s="287"/>
      <c r="AT78" s="748"/>
      <c r="AU78" s="287"/>
      <c r="AV78" s="748"/>
      <c r="AW78" s="287"/>
      <c r="AX78" s="748"/>
      <c r="AY78" s="287"/>
      <c r="AZ78" s="748"/>
      <c r="BA78" s="287"/>
      <c r="BB78" s="748"/>
      <c r="BC78" s="287"/>
      <c r="BD78" s="748"/>
      <c r="BE78" s="287"/>
      <c r="BF78" s="748"/>
      <c r="BG78" s="287"/>
      <c r="BH78" s="748"/>
      <c r="BI78" s="287"/>
      <c r="BJ78" s="748"/>
      <c r="BK78" s="287"/>
      <c r="BL78" s="748"/>
      <c r="BM78" s="287"/>
      <c r="BN78" s="748"/>
      <c r="BO78" s="287"/>
      <c r="BP78" s="748"/>
      <c r="BQ78" s="287"/>
      <c r="BR78" s="748"/>
      <c r="BS78" s="287"/>
      <c r="BT78" s="748"/>
      <c r="BU78" s="287"/>
      <c r="BV78" s="748"/>
      <c r="BW78" s="287"/>
      <c r="BX78" s="748"/>
      <c r="BY78" s="287"/>
      <c r="BZ78" s="748"/>
      <c r="CA78" s="287"/>
      <c r="CB78" s="748"/>
      <c r="CC78" s="287"/>
      <c r="CD78" s="748"/>
      <c r="CE78" s="287"/>
      <c r="CF78" s="748"/>
      <c r="CG78" s="287"/>
      <c r="CH78" s="748"/>
      <c r="CI78" s="287"/>
      <c r="CJ78" s="748"/>
      <c r="CK78" s="287"/>
      <c r="CL78" s="748"/>
      <c r="CM78" s="287"/>
      <c r="CN78" s="748"/>
      <c r="CO78" s="287"/>
      <c r="CP78" s="748"/>
      <c r="CQ78" s="287"/>
      <c r="CR78" s="748"/>
      <c r="CS78" s="287"/>
      <c r="CT78" s="748"/>
      <c r="CU78" s="287"/>
      <c r="CV78" s="748"/>
      <c r="CW78" s="287"/>
      <c r="CX78" s="748"/>
      <c r="CY78" s="287"/>
      <c r="CZ78" s="748"/>
      <c r="DA78" s="287"/>
      <c r="DB78" s="748"/>
      <c r="DC78" s="287"/>
      <c r="DD78" s="748"/>
      <c r="DE78" s="287"/>
      <c r="DF78" s="748"/>
      <c r="DG78" s="287"/>
      <c r="DH78" s="748"/>
      <c r="DI78" s="287"/>
      <c r="DJ78" s="748"/>
      <c r="DK78" s="287"/>
      <c r="DL78" s="748"/>
      <c r="DM78" s="287"/>
      <c r="DN78" s="748"/>
      <c r="DO78" s="287"/>
      <c r="DP78" s="748"/>
      <c r="DQ78" s="287"/>
      <c r="DR78" s="748"/>
      <c r="DS78" s="287"/>
      <c r="DT78" s="748"/>
      <c r="DU78" s="287"/>
      <c r="DV78" s="748"/>
      <c r="DW78" s="287"/>
      <c r="DX78" s="748"/>
      <c r="DY78" s="287"/>
      <c r="DZ78" s="748"/>
      <c r="EA78" s="287"/>
      <c r="EB78" s="748"/>
      <c r="EC78" s="287"/>
      <c r="ED78" s="748"/>
      <c r="EE78" s="287"/>
      <c r="EF78" s="748"/>
      <c r="EG78" s="287"/>
      <c r="EH78" s="748"/>
      <c r="EI78" s="287"/>
      <c r="EJ78" s="748"/>
      <c r="EK78" s="287"/>
      <c r="EL78" s="748"/>
      <c r="EM78" s="287"/>
      <c r="EN78" s="748"/>
      <c r="EO78" s="287"/>
      <c r="EP78" s="748"/>
      <c r="EQ78" s="287"/>
      <c r="ER78" s="748"/>
      <c r="ES78" s="287"/>
      <c r="ET78" s="748"/>
      <c r="EU78" s="287"/>
      <c r="EV78" s="748"/>
      <c r="EW78" s="287"/>
      <c r="EX78" s="748"/>
      <c r="EY78" s="287"/>
      <c r="EZ78" s="748"/>
      <c r="FA78" s="287"/>
      <c r="FB78" s="748"/>
      <c r="FC78" s="287"/>
      <c r="FD78" s="748"/>
      <c r="FE78" s="287"/>
      <c r="FF78" s="748"/>
      <c r="FG78" s="287"/>
      <c r="FH78" s="748"/>
      <c r="FI78" s="287"/>
      <c r="FJ78" s="748"/>
      <c r="FK78" s="287"/>
      <c r="FL78" s="748"/>
      <c r="FM78" s="287"/>
      <c r="FN78" s="748"/>
      <c r="FO78" s="287"/>
      <c r="FP78" s="748"/>
      <c r="FQ78" s="287"/>
      <c r="FR78" s="748"/>
      <c r="FS78" s="287"/>
      <c r="FT78" s="748"/>
      <c r="FU78" s="287"/>
      <c r="FV78" s="748"/>
      <c r="FW78" s="287"/>
      <c r="FX78" s="748"/>
      <c r="FY78" s="287"/>
      <c r="FZ78" s="748"/>
      <c r="GA78" s="287"/>
      <c r="GB78" s="748"/>
      <c r="GC78" s="287"/>
      <c r="GD78" s="748"/>
      <c r="GE78" s="287"/>
      <c r="GF78" s="748"/>
      <c r="GG78" s="287"/>
      <c r="GH78" s="748"/>
      <c r="GI78" s="287"/>
      <c r="GJ78" s="748"/>
      <c r="GK78" s="287"/>
      <c r="GL78" s="748"/>
      <c r="GM78" s="287"/>
      <c r="GN78" s="748"/>
      <c r="GO78" s="287"/>
      <c r="GP78" s="748"/>
      <c r="GQ78" s="287"/>
      <c r="GR78" s="748"/>
      <c r="GS78" s="287"/>
      <c r="GT78" s="748"/>
      <c r="GU78" s="287"/>
      <c r="GV78" s="748"/>
      <c r="GW78" s="287"/>
      <c r="GX78" s="748"/>
      <c r="GY78" s="287"/>
      <c r="GZ78" s="748"/>
      <c r="HA78" s="287"/>
      <c r="HB78" s="748"/>
      <c r="HC78" s="287"/>
      <c r="HD78" s="748"/>
      <c r="HE78" s="287"/>
      <c r="HF78" s="748"/>
      <c r="HG78" s="287"/>
      <c r="HH78" s="748"/>
      <c r="HI78" s="287"/>
      <c r="HJ78" s="748"/>
      <c r="HK78" s="287"/>
      <c r="HL78" s="748"/>
      <c r="HM78" s="287"/>
      <c r="HN78" s="748"/>
      <c r="HO78" s="287"/>
      <c r="HP78" s="748"/>
      <c r="HQ78" s="287"/>
      <c r="HR78" s="748"/>
      <c r="HS78" s="287"/>
      <c r="HT78" s="748"/>
      <c r="HU78" s="287"/>
      <c r="HV78" s="748"/>
      <c r="HW78" s="287"/>
      <c r="HX78" s="748"/>
      <c r="HY78" s="287"/>
      <c r="HZ78" s="748"/>
      <c r="IA78" s="287"/>
      <c r="IB78" s="748"/>
      <c r="IC78" s="287"/>
      <c r="ID78" s="748"/>
      <c r="IE78" s="287"/>
      <c r="IF78" s="748"/>
      <c r="IG78" s="287"/>
      <c r="IH78" s="748"/>
      <c r="II78" s="287"/>
      <c r="IJ78" s="748"/>
      <c r="IK78" s="287"/>
      <c r="IL78" s="748"/>
      <c r="IM78" s="287"/>
      <c r="IN78" s="748"/>
      <c r="IO78" s="287"/>
      <c r="IP78" s="748"/>
      <c r="IQ78" s="287"/>
      <c r="IR78" s="748"/>
      <c r="IS78" s="287"/>
      <c r="IT78" s="748"/>
      <c r="IU78" s="287"/>
      <c r="IV78" s="748"/>
    </row>
    <row r="79" spans="1:8" s="78" customFormat="1" ht="13.5" hidden="1">
      <c r="A79" s="107" t="s">
        <v>150</v>
      </c>
      <c r="B79" s="86" t="s">
        <v>149</v>
      </c>
      <c r="C79" s="822">
        <v>5000</v>
      </c>
      <c r="F79" s="96"/>
      <c r="G79" s="643"/>
      <c r="H79" s="79"/>
    </row>
    <row r="80" spans="1:8" s="78" customFormat="1" ht="13.5" hidden="1">
      <c r="A80" s="107" t="s">
        <v>53</v>
      </c>
      <c r="B80" s="25" t="s">
        <v>97</v>
      </c>
      <c r="C80" s="822">
        <v>11500</v>
      </c>
      <c r="F80" s="87"/>
      <c r="G80" s="79"/>
      <c r="H80" s="79"/>
    </row>
    <row r="81" spans="1:8" s="78" customFormat="1" ht="13.5">
      <c r="A81" s="353" t="s">
        <v>123</v>
      </c>
      <c r="B81" s="33" t="s">
        <v>124</v>
      </c>
      <c r="C81" s="96">
        <f>SUM(C82:C82)</f>
        <v>70400</v>
      </c>
      <c r="F81" s="87"/>
      <c r="G81" s="79"/>
      <c r="H81" s="79"/>
    </row>
    <row r="82" spans="1:8" s="78" customFormat="1" ht="13.5" hidden="1">
      <c r="A82" s="107" t="s">
        <v>98</v>
      </c>
      <c r="B82" s="25" t="s">
        <v>69</v>
      </c>
      <c r="C82" s="822">
        <v>70400</v>
      </c>
      <c r="F82" s="87"/>
      <c r="G82" s="329"/>
      <c r="H82" s="79"/>
    </row>
    <row r="83" spans="1:8" s="78" customFormat="1" ht="13.5">
      <c r="A83" s="353" t="s">
        <v>143</v>
      </c>
      <c r="B83" s="95" t="s">
        <v>61</v>
      </c>
      <c r="C83" s="96">
        <f>SUM(C84)</f>
        <v>4500</v>
      </c>
      <c r="F83" s="87"/>
      <c r="G83" s="79"/>
      <c r="H83" s="79"/>
    </row>
    <row r="84" spans="1:6" s="78" customFormat="1" ht="13.5" hidden="1">
      <c r="A84" s="107" t="s">
        <v>60</v>
      </c>
      <c r="B84" s="86" t="s">
        <v>61</v>
      </c>
      <c r="C84" s="822">
        <v>4500</v>
      </c>
      <c r="D84" s="87"/>
      <c r="E84" s="79"/>
      <c r="F84" s="79"/>
    </row>
    <row r="85" spans="1:6" s="78" customFormat="1" ht="13.5">
      <c r="A85" s="353" t="s">
        <v>125</v>
      </c>
      <c r="B85" s="33" t="s">
        <v>8</v>
      </c>
      <c r="C85" s="96">
        <f>SUM(C86:C89)</f>
        <v>66650</v>
      </c>
      <c r="D85" s="87"/>
      <c r="E85" s="79"/>
      <c r="F85" s="79"/>
    </row>
    <row r="86" spans="1:6" s="100" customFormat="1" ht="13.5" hidden="1">
      <c r="A86" s="107" t="s">
        <v>102</v>
      </c>
      <c r="B86" s="25" t="s">
        <v>8</v>
      </c>
      <c r="C86" s="822">
        <v>10000</v>
      </c>
      <c r="D86" s="87"/>
      <c r="E86" s="79"/>
      <c r="F86" s="79"/>
    </row>
    <row r="87" spans="1:6" s="78" customFormat="1" ht="13.5" hidden="1">
      <c r="A87" s="107" t="s">
        <v>104</v>
      </c>
      <c r="B87" s="25" t="s">
        <v>54</v>
      </c>
      <c r="C87" s="822">
        <v>5000</v>
      </c>
      <c r="D87" s="96"/>
      <c r="E87" s="79"/>
      <c r="F87" s="79"/>
    </row>
    <row r="88" spans="1:256" s="78" customFormat="1" ht="13.5" hidden="1">
      <c r="A88" s="13" t="s">
        <v>242</v>
      </c>
      <c r="B88" s="57" t="s">
        <v>241</v>
      </c>
      <c r="C88" s="821">
        <v>46650</v>
      </c>
      <c r="D88" s="26"/>
      <c r="E88" s="287"/>
      <c r="G88" s="287"/>
      <c r="H88" s="748"/>
      <c r="I88" s="287"/>
      <c r="J88" s="748"/>
      <c r="K88" s="287"/>
      <c r="L88" s="748"/>
      <c r="M88" s="287"/>
      <c r="N88" s="748"/>
      <c r="O88" s="287"/>
      <c r="P88" s="748"/>
      <c r="Q88" s="287"/>
      <c r="R88" s="748"/>
      <c r="S88" s="287"/>
      <c r="T88" s="748"/>
      <c r="U88" s="287"/>
      <c r="V88" s="748"/>
      <c r="W88" s="287"/>
      <c r="X88" s="748"/>
      <c r="Y88" s="287"/>
      <c r="Z88" s="748"/>
      <c r="AA88" s="287"/>
      <c r="AB88" s="748"/>
      <c r="AC88" s="287"/>
      <c r="AD88" s="748"/>
      <c r="AE88" s="287"/>
      <c r="AF88" s="748"/>
      <c r="AG88" s="287"/>
      <c r="AH88" s="748"/>
      <c r="AI88" s="287"/>
      <c r="AJ88" s="748"/>
      <c r="AK88" s="287"/>
      <c r="AL88" s="748"/>
      <c r="AM88" s="287"/>
      <c r="AN88" s="748"/>
      <c r="AO88" s="287"/>
      <c r="AP88" s="748"/>
      <c r="AQ88" s="287"/>
      <c r="AR88" s="748"/>
      <c r="AS88" s="287"/>
      <c r="AT88" s="748"/>
      <c r="AU88" s="287"/>
      <c r="AV88" s="748"/>
      <c r="AW88" s="287"/>
      <c r="AX88" s="748"/>
      <c r="AY88" s="287"/>
      <c r="AZ88" s="748"/>
      <c r="BA88" s="287"/>
      <c r="BB88" s="748"/>
      <c r="BC88" s="287"/>
      <c r="BD88" s="748"/>
      <c r="BE88" s="287"/>
      <c r="BF88" s="748"/>
      <c r="BG88" s="287"/>
      <c r="BH88" s="748"/>
      <c r="BI88" s="287"/>
      <c r="BJ88" s="748"/>
      <c r="BK88" s="287"/>
      <c r="BL88" s="748"/>
      <c r="BM88" s="287"/>
      <c r="BN88" s="748"/>
      <c r="BO88" s="287"/>
      <c r="BP88" s="748"/>
      <c r="BQ88" s="287"/>
      <c r="BR88" s="748"/>
      <c r="BS88" s="287"/>
      <c r="BT88" s="748"/>
      <c r="BU88" s="287"/>
      <c r="BV88" s="748"/>
      <c r="BW88" s="287"/>
      <c r="BX88" s="748"/>
      <c r="BY88" s="287"/>
      <c r="BZ88" s="748"/>
      <c r="CA88" s="287"/>
      <c r="CB88" s="748"/>
      <c r="CC88" s="287"/>
      <c r="CD88" s="748"/>
      <c r="CE88" s="287"/>
      <c r="CF88" s="748"/>
      <c r="CG88" s="287"/>
      <c r="CH88" s="748"/>
      <c r="CI88" s="287"/>
      <c r="CJ88" s="748"/>
      <c r="CK88" s="287"/>
      <c r="CL88" s="748"/>
      <c r="CM88" s="287"/>
      <c r="CN88" s="748"/>
      <c r="CO88" s="287"/>
      <c r="CP88" s="748"/>
      <c r="CQ88" s="287"/>
      <c r="CR88" s="748"/>
      <c r="CS88" s="287"/>
      <c r="CT88" s="748"/>
      <c r="CU88" s="287"/>
      <c r="CV88" s="748"/>
      <c r="CW88" s="287"/>
      <c r="CX88" s="748"/>
      <c r="CY88" s="287"/>
      <c r="CZ88" s="748"/>
      <c r="DA88" s="287"/>
      <c r="DB88" s="748"/>
      <c r="DC88" s="287"/>
      <c r="DD88" s="748"/>
      <c r="DE88" s="287"/>
      <c r="DF88" s="748"/>
      <c r="DG88" s="287"/>
      <c r="DH88" s="748"/>
      <c r="DI88" s="287"/>
      <c r="DJ88" s="748"/>
      <c r="DK88" s="287"/>
      <c r="DL88" s="748"/>
      <c r="DM88" s="287"/>
      <c r="DN88" s="748"/>
      <c r="DO88" s="287"/>
      <c r="DP88" s="748"/>
      <c r="DQ88" s="287"/>
      <c r="DR88" s="748"/>
      <c r="DS88" s="287"/>
      <c r="DT88" s="748"/>
      <c r="DU88" s="287"/>
      <c r="DV88" s="748"/>
      <c r="DW88" s="287"/>
      <c r="DX88" s="748"/>
      <c r="DY88" s="287"/>
      <c r="DZ88" s="748"/>
      <c r="EA88" s="287"/>
      <c r="EB88" s="748"/>
      <c r="EC88" s="287"/>
      <c r="ED88" s="748"/>
      <c r="EE88" s="287"/>
      <c r="EF88" s="748"/>
      <c r="EG88" s="287"/>
      <c r="EH88" s="748"/>
      <c r="EI88" s="287"/>
      <c r="EJ88" s="748"/>
      <c r="EK88" s="287"/>
      <c r="EL88" s="748"/>
      <c r="EM88" s="287"/>
      <c r="EN88" s="748"/>
      <c r="EO88" s="287"/>
      <c r="EP88" s="748"/>
      <c r="EQ88" s="287"/>
      <c r="ER88" s="748"/>
      <c r="ES88" s="287"/>
      <c r="ET88" s="748"/>
      <c r="EU88" s="287"/>
      <c r="EV88" s="748"/>
      <c r="EW88" s="287"/>
      <c r="EX88" s="748"/>
      <c r="EY88" s="287"/>
      <c r="EZ88" s="748"/>
      <c r="FA88" s="287"/>
      <c r="FB88" s="748"/>
      <c r="FC88" s="287"/>
      <c r="FD88" s="748"/>
      <c r="FE88" s="287"/>
      <c r="FF88" s="748"/>
      <c r="FG88" s="287"/>
      <c r="FH88" s="748"/>
      <c r="FI88" s="287"/>
      <c r="FJ88" s="748"/>
      <c r="FK88" s="287"/>
      <c r="FL88" s="748"/>
      <c r="FM88" s="287"/>
      <c r="FN88" s="748"/>
      <c r="FO88" s="287"/>
      <c r="FP88" s="748"/>
      <c r="FQ88" s="287"/>
      <c r="FR88" s="748"/>
      <c r="FS88" s="287"/>
      <c r="FT88" s="748"/>
      <c r="FU88" s="287"/>
      <c r="FV88" s="748"/>
      <c r="FW88" s="287"/>
      <c r="FX88" s="748"/>
      <c r="FY88" s="287"/>
      <c r="FZ88" s="748"/>
      <c r="GA88" s="287"/>
      <c r="GB88" s="748"/>
      <c r="GC88" s="287"/>
      <c r="GD88" s="748"/>
      <c r="GE88" s="287"/>
      <c r="GF88" s="748"/>
      <c r="GG88" s="287"/>
      <c r="GH88" s="748"/>
      <c r="GI88" s="287"/>
      <c r="GJ88" s="748"/>
      <c r="GK88" s="287"/>
      <c r="GL88" s="748"/>
      <c r="GM88" s="287"/>
      <c r="GN88" s="748"/>
      <c r="GO88" s="287"/>
      <c r="GP88" s="748"/>
      <c r="GQ88" s="287"/>
      <c r="GR88" s="748"/>
      <c r="GS88" s="287"/>
      <c r="GT88" s="748"/>
      <c r="GU88" s="287"/>
      <c r="GV88" s="748"/>
      <c r="GW88" s="287"/>
      <c r="GX88" s="748"/>
      <c r="GY88" s="287"/>
      <c r="GZ88" s="748"/>
      <c r="HA88" s="287"/>
      <c r="HB88" s="748"/>
      <c r="HC88" s="287"/>
      <c r="HD88" s="748"/>
      <c r="HE88" s="287"/>
      <c r="HF88" s="748"/>
      <c r="HG88" s="287"/>
      <c r="HH88" s="748"/>
      <c r="HI88" s="287"/>
      <c r="HJ88" s="748"/>
      <c r="HK88" s="287"/>
      <c r="HL88" s="748"/>
      <c r="HM88" s="287"/>
      <c r="HN88" s="748"/>
      <c r="HO88" s="287"/>
      <c r="HP88" s="748"/>
      <c r="HQ88" s="287"/>
      <c r="HR88" s="748"/>
      <c r="HS88" s="287"/>
      <c r="HT88" s="748"/>
      <c r="HU88" s="287"/>
      <c r="HV88" s="748"/>
      <c r="HW88" s="287"/>
      <c r="HX88" s="748"/>
      <c r="HY88" s="287"/>
      <c r="HZ88" s="748"/>
      <c r="IA88" s="287"/>
      <c r="IB88" s="748"/>
      <c r="IC88" s="287"/>
      <c r="ID88" s="748"/>
      <c r="IE88" s="287"/>
      <c r="IF88" s="748"/>
      <c r="IG88" s="287"/>
      <c r="IH88" s="748"/>
      <c r="II88" s="287"/>
      <c r="IJ88" s="748"/>
      <c r="IK88" s="287"/>
      <c r="IL88" s="748"/>
      <c r="IM88" s="287"/>
      <c r="IN88" s="748"/>
      <c r="IO88" s="287"/>
      <c r="IP88" s="748"/>
      <c r="IQ88" s="287"/>
      <c r="IR88" s="748"/>
      <c r="IS88" s="287"/>
      <c r="IT88" s="748"/>
      <c r="IU88" s="287"/>
      <c r="IV88" s="748"/>
    </row>
    <row r="89" spans="1:6" s="78" customFormat="1" ht="13.5" hidden="1">
      <c r="A89" s="107" t="s">
        <v>100</v>
      </c>
      <c r="B89" s="25" t="s">
        <v>7</v>
      </c>
      <c r="C89" s="822">
        <v>5000</v>
      </c>
      <c r="D89" s="26"/>
      <c r="E89" s="25"/>
      <c r="F89" s="79"/>
    </row>
    <row r="90" spans="1:6" s="78" customFormat="1" ht="14.25" thickBot="1">
      <c r="A90" s="107"/>
      <c r="B90" s="25"/>
      <c r="C90" s="87"/>
      <c r="D90" s="26"/>
      <c r="E90" s="288"/>
      <c r="F90" s="79"/>
    </row>
    <row r="91" spans="1:5" s="100" customFormat="1" ht="14.25" thickBot="1">
      <c r="A91" s="959" t="s">
        <v>4</v>
      </c>
      <c r="B91" s="960"/>
      <c r="C91" s="103">
        <f>C92+C94+C96</f>
        <v>51500</v>
      </c>
      <c r="D91" s="102"/>
      <c r="E91" s="124"/>
    </row>
    <row r="92" spans="1:5" s="78" customFormat="1" ht="13.5">
      <c r="A92" s="353" t="s">
        <v>126</v>
      </c>
      <c r="B92" s="286" t="s">
        <v>127</v>
      </c>
      <c r="C92" s="96">
        <f>SUM(C93)</f>
        <v>11500</v>
      </c>
      <c r="D92" s="79"/>
      <c r="E92" s="252"/>
    </row>
    <row r="93" spans="1:5" s="100" customFormat="1" ht="13.5" hidden="1">
      <c r="A93" s="107" t="s">
        <v>101</v>
      </c>
      <c r="B93" s="86" t="s">
        <v>152</v>
      </c>
      <c r="C93" s="822">
        <f>10500+1000</f>
        <v>11500</v>
      </c>
      <c r="D93" s="102"/>
      <c r="E93" s="102"/>
    </row>
    <row r="94" spans="1:5" s="100" customFormat="1" ht="13.5">
      <c r="A94" s="813" t="s">
        <v>142</v>
      </c>
      <c r="B94" s="95" t="s">
        <v>371</v>
      </c>
      <c r="C94" s="811">
        <f>SUM(C95)</f>
        <v>32500</v>
      </c>
      <c r="D94" s="102"/>
      <c r="E94" s="102"/>
    </row>
    <row r="95" spans="1:5" s="100" customFormat="1" ht="13.5" hidden="1">
      <c r="A95" s="105" t="s">
        <v>185</v>
      </c>
      <c r="B95" s="86" t="s">
        <v>371</v>
      </c>
      <c r="C95" s="822">
        <f>30000+2500</f>
        <v>32500</v>
      </c>
      <c r="D95" s="102"/>
      <c r="E95" s="102"/>
    </row>
    <row r="96" spans="1:5" s="100" customFormat="1" ht="13.5">
      <c r="A96" s="353" t="s">
        <v>188</v>
      </c>
      <c r="B96" s="33" t="s">
        <v>146</v>
      </c>
      <c r="C96" s="811">
        <f>SUM(C97)</f>
        <v>7500</v>
      </c>
      <c r="D96" s="102"/>
      <c r="E96" s="102"/>
    </row>
    <row r="97" spans="1:5" s="100" customFormat="1" ht="13.5" hidden="1">
      <c r="A97" s="107" t="s">
        <v>189</v>
      </c>
      <c r="B97" s="25" t="s">
        <v>56</v>
      </c>
      <c r="C97" s="822">
        <f>6000+1500</f>
        <v>7500</v>
      </c>
      <c r="D97" s="102"/>
      <c r="E97" s="102"/>
    </row>
    <row r="98" spans="1:5" s="100" customFormat="1" ht="13.5">
      <c r="A98" s="107"/>
      <c r="B98" s="25"/>
      <c r="C98" s="101"/>
      <c r="D98" s="102"/>
      <c r="E98" s="102"/>
    </row>
    <row r="99" ht="14.25" thickBot="1"/>
    <row r="100" spans="1:6" ht="13.5">
      <c r="A100" s="72" t="s">
        <v>1141</v>
      </c>
      <c r="B100" s="73"/>
      <c r="C100" s="75" t="s">
        <v>6</v>
      </c>
      <c r="D100" s="76" t="s">
        <v>1147</v>
      </c>
      <c r="F100" s="842"/>
    </row>
    <row r="101" spans="1:4" ht="13.5">
      <c r="A101" s="77"/>
      <c r="B101" s="323" t="s">
        <v>1143</v>
      </c>
      <c r="C101" s="634"/>
      <c r="D101" s="635"/>
    </row>
    <row r="102" spans="1:4" ht="14.25" thickBot="1">
      <c r="A102" s="81"/>
      <c r="B102" s="82" t="s">
        <v>1148</v>
      </c>
      <c r="C102" s="174"/>
      <c r="D102" s="173"/>
    </row>
    <row r="103" spans="1:5" s="631" customFormat="1" ht="13.5">
      <c r="A103" s="72" t="s">
        <v>1390</v>
      </c>
      <c r="B103" s="241"/>
      <c r="C103" s="240"/>
      <c r="D103" s="239"/>
      <c r="E103" s="87"/>
    </row>
    <row r="104" spans="1:5" s="631" customFormat="1" ht="14.25" thickBot="1">
      <c r="A104" s="81" t="s">
        <v>1391</v>
      </c>
      <c r="B104" s="237"/>
      <c r="C104" s="236"/>
      <c r="D104" s="235"/>
      <c r="E104" s="87"/>
    </row>
    <row r="105" spans="1:4" ht="13.5">
      <c r="A105" s="85" t="s">
        <v>1365</v>
      </c>
      <c r="B105" s="86"/>
      <c r="C105" s="87"/>
      <c r="D105" s="88"/>
    </row>
    <row r="106" spans="1:4" ht="13.5">
      <c r="A106" s="85" t="s">
        <v>1140</v>
      </c>
      <c r="B106" s="86"/>
      <c r="C106" s="87"/>
      <c r="D106" s="88"/>
    </row>
    <row r="107" spans="1:4" ht="13.5">
      <c r="A107" s="85" t="s">
        <v>1387</v>
      </c>
      <c r="B107" s="86"/>
      <c r="C107" s="87"/>
      <c r="D107" s="88"/>
    </row>
    <row r="108" spans="1:4" ht="14.25" thickBot="1">
      <c r="A108" s="85" t="s">
        <v>16</v>
      </c>
      <c r="B108" s="86"/>
      <c r="C108" s="87"/>
      <c r="D108" s="88"/>
    </row>
    <row r="109" spans="1:7" ht="14.25" thickBot="1">
      <c r="A109" s="89" t="s">
        <v>1146</v>
      </c>
      <c r="B109" s="90"/>
      <c r="C109" s="92"/>
      <c r="D109" s="93">
        <f>C111+C128+C155</f>
        <v>767350</v>
      </c>
      <c r="G109" s="94"/>
    </row>
    <row r="110" spans="1:5" ht="14.25" thickBot="1">
      <c r="A110" s="86"/>
      <c r="B110" s="105"/>
      <c r="D110" s="745"/>
      <c r="E110" s="747"/>
    </row>
    <row r="111" spans="1:5" ht="14.25" thickBot="1">
      <c r="A111" s="955" t="s">
        <v>2</v>
      </c>
      <c r="B111" s="956"/>
      <c r="C111" s="97">
        <f>C112+C114+C116+C119+C121+C123</f>
        <v>75200</v>
      </c>
      <c r="E111" s="746"/>
    </row>
    <row r="112" spans="1:5" s="104" customFormat="1" ht="13.5">
      <c r="A112" s="12" t="s">
        <v>113</v>
      </c>
      <c r="B112" s="286" t="s">
        <v>114</v>
      </c>
      <c r="C112" s="96">
        <f>SUM(C113)</f>
        <v>5200</v>
      </c>
      <c r="D112" s="99"/>
      <c r="E112" s="749"/>
    </row>
    <row r="113" spans="1:7" s="57" customFormat="1" ht="13.5" customHeight="1" hidden="1">
      <c r="A113" s="13" t="s">
        <v>50</v>
      </c>
      <c r="B113" s="57" t="s">
        <v>49</v>
      </c>
      <c r="C113" s="821">
        <v>5200</v>
      </c>
      <c r="D113" s="23"/>
      <c r="E113" s="33"/>
      <c r="G113" s="71"/>
    </row>
    <row r="114" spans="1:7" s="57" customFormat="1" ht="13.5" customHeight="1">
      <c r="A114" s="353" t="s">
        <v>223</v>
      </c>
      <c r="B114" s="404" t="s">
        <v>272</v>
      </c>
      <c r="C114" s="33">
        <f>SUM(C115)</f>
        <v>3300</v>
      </c>
      <c r="D114" s="23"/>
      <c r="E114" s="33"/>
      <c r="G114" s="71"/>
    </row>
    <row r="115" spans="1:5" s="100" customFormat="1" ht="13.5" hidden="1">
      <c r="A115" s="105" t="s">
        <v>221</v>
      </c>
      <c r="B115" s="86" t="s">
        <v>1149</v>
      </c>
      <c r="C115" s="822">
        <v>3300</v>
      </c>
      <c r="D115" s="102"/>
      <c r="E115" s="124"/>
    </row>
    <row r="116" spans="1:5" s="100" customFormat="1" ht="13.5">
      <c r="A116" s="12" t="s">
        <v>115</v>
      </c>
      <c r="B116" s="791" t="s">
        <v>116</v>
      </c>
      <c r="C116" s="811">
        <f>SUM(C117:C118)</f>
        <v>7350</v>
      </c>
      <c r="D116" s="102"/>
      <c r="E116" s="124"/>
    </row>
    <row r="117" spans="1:7" s="57" customFormat="1" ht="13.5" customHeight="1" hidden="1">
      <c r="A117" s="13" t="s">
        <v>72</v>
      </c>
      <c r="B117" s="57" t="s">
        <v>73</v>
      </c>
      <c r="C117" s="821">
        <v>3500</v>
      </c>
      <c r="D117" s="23"/>
      <c r="E117" s="33"/>
      <c r="G117" s="71"/>
    </row>
    <row r="118" spans="1:7" s="57" customFormat="1" ht="13.5" customHeight="1" hidden="1">
      <c r="A118" s="13" t="s">
        <v>96</v>
      </c>
      <c r="B118" s="57" t="s">
        <v>71</v>
      </c>
      <c r="C118" s="821">
        <v>3850</v>
      </c>
      <c r="D118" s="23"/>
      <c r="E118" s="33"/>
      <c r="G118" s="71"/>
    </row>
    <row r="119" spans="1:7" s="57" customFormat="1" ht="13.5" customHeight="1">
      <c r="A119" s="12" t="s">
        <v>117</v>
      </c>
      <c r="B119" s="791" t="s">
        <v>118</v>
      </c>
      <c r="C119" s="33">
        <f>SUM(C120)</f>
        <v>44000</v>
      </c>
      <c r="D119" s="23"/>
      <c r="E119" s="33"/>
      <c r="G119" s="71"/>
    </row>
    <row r="120" spans="1:8" s="9" customFormat="1" ht="13.5" customHeight="1" hidden="1">
      <c r="A120" s="13" t="s">
        <v>51</v>
      </c>
      <c r="B120" s="25" t="s">
        <v>52</v>
      </c>
      <c r="C120" s="821">
        <v>44000</v>
      </c>
      <c r="D120" s="115"/>
      <c r="E120" s="26"/>
      <c r="F120" s="140"/>
      <c r="G120" s="71"/>
      <c r="H120" s="57"/>
    </row>
    <row r="121" spans="1:8" s="9" customFormat="1" ht="13.5" customHeight="1">
      <c r="A121" s="353" t="s">
        <v>134</v>
      </c>
      <c r="B121" s="33" t="s">
        <v>133</v>
      </c>
      <c r="C121" s="26">
        <f>SUM(C122)</f>
        <v>4000</v>
      </c>
      <c r="D121" s="115"/>
      <c r="E121" s="26"/>
      <c r="F121" s="140"/>
      <c r="G121" s="71"/>
      <c r="H121" s="57"/>
    </row>
    <row r="122" spans="1:5" s="100" customFormat="1" ht="13.5" hidden="1">
      <c r="A122" s="107" t="s">
        <v>103</v>
      </c>
      <c r="B122" s="24" t="s">
        <v>78</v>
      </c>
      <c r="C122" s="822">
        <v>4000</v>
      </c>
      <c r="D122" s="102"/>
      <c r="E122" s="102"/>
    </row>
    <row r="123" spans="1:5" s="100" customFormat="1" ht="13.5">
      <c r="A123" s="353" t="s">
        <v>169</v>
      </c>
      <c r="B123" s="33" t="s">
        <v>135</v>
      </c>
      <c r="C123" s="96">
        <f>SUM(C124:C126)</f>
        <v>11350</v>
      </c>
      <c r="D123" s="102"/>
      <c r="E123" s="102"/>
    </row>
    <row r="124" spans="1:8" s="9" customFormat="1" ht="13.5" customHeight="1" hidden="1">
      <c r="A124" s="107" t="s">
        <v>170</v>
      </c>
      <c r="B124" s="25" t="s">
        <v>70</v>
      </c>
      <c r="C124" s="821">
        <v>2500</v>
      </c>
      <c r="D124" s="115"/>
      <c r="E124" s="26"/>
      <c r="F124" s="140"/>
      <c r="G124" s="71"/>
      <c r="H124" s="57"/>
    </row>
    <row r="125" spans="1:8" s="9" customFormat="1" ht="13.5" customHeight="1" hidden="1">
      <c r="A125" s="107" t="s">
        <v>171</v>
      </c>
      <c r="B125" s="25" t="s">
        <v>75</v>
      </c>
      <c r="C125" s="821">
        <v>1500</v>
      </c>
      <c r="D125" s="115"/>
      <c r="E125" s="26"/>
      <c r="F125" s="140"/>
      <c r="G125" s="71"/>
      <c r="H125" s="57"/>
    </row>
    <row r="126" spans="1:8" s="9" customFormat="1" ht="13.5" customHeight="1" hidden="1">
      <c r="A126" s="107" t="s">
        <v>172</v>
      </c>
      <c r="B126" s="25" t="s">
        <v>144</v>
      </c>
      <c r="C126" s="821">
        <v>7350</v>
      </c>
      <c r="D126" s="115"/>
      <c r="E126" s="26"/>
      <c r="F126" s="140"/>
      <c r="G126" s="71"/>
      <c r="H126" s="57"/>
    </row>
    <row r="127" spans="1:8" s="9" customFormat="1" ht="13.5" customHeight="1" thickBot="1">
      <c r="A127" s="107"/>
      <c r="B127" s="25"/>
      <c r="C127" s="24"/>
      <c r="D127" s="115"/>
      <c r="E127" s="26"/>
      <c r="F127" s="286"/>
      <c r="G127" s="71"/>
      <c r="H127" s="109"/>
    </row>
    <row r="128" spans="1:5" s="100" customFormat="1" ht="14.25" thickBot="1">
      <c r="A128" s="957" t="s">
        <v>3</v>
      </c>
      <c r="B128" s="958"/>
      <c r="C128" s="98">
        <f>C129+C138+C135+C142+C145+C147+C149</f>
        <v>645650</v>
      </c>
      <c r="D128" s="79"/>
      <c r="E128" s="750"/>
    </row>
    <row r="129" spans="1:5" s="78" customFormat="1" ht="13.5">
      <c r="A129" s="353" t="s">
        <v>552</v>
      </c>
      <c r="B129" s="286" t="s">
        <v>553</v>
      </c>
      <c r="C129" s="96">
        <f>SUM(C130:C134)</f>
        <v>367300</v>
      </c>
      <c r="D129" s="79"/>
      <c r="E129" s="750"/>
    </row>
    <row r="130" spans="1:6" s="100" customFormat="1" ht="13.5" hidden="1">
      <c r="A130" s="107" t="s">
        <v>554</v>
      </c>
      <c r="B130" s="86" t="s">
        <v>555</v>
      </c>
      <c r="C130" s="822">
        <v>2100</v>
      </c>
      <c r="D130" s="96"/>
      <c r="E130" s="79"/>
      <c r="F130" s="79"/>
    </row>
    <row r="131" spans="1:8" s="9" customFormat="1" ht="13.5" customHeight="1" hidden="1">
      <c r="A131" s="107" t="s">
        <v>556</v>
      </c>
      <c r="B131" s="86" t="s">
        <v>557</v>
      </c>
      <c r="C131" s="821">
        <v>1850</v>
      </c>
      <c r="D131" s="115"/>
      <c r="F131" s="280"/>
      <c r="G131" s="71"/>
      <c r="H131" s="71"/>
    </row>
    <row r="132" spans="1:8" s="9" customFormat="1" ht="13.5" customHeight="1" hidden="1">
      <c r="A132" s="107" t="s">
        <v>558</v>
      </c>
      <c r="B132" s="86" t="s">
        <v>559</v>
      </c>
      <c r="C132" s="821">
        <v>2500</v>
      </c>
      <c r="D132" s="115"/>
      <c r="E132" s="26"/>
      <c r="F132" s="280"/>
      <c r="G132" s="71"/>
      <c r="H132" s="71"/>
    </row>
    <row r="133" spans="1:10" s="9" customFormat="1" ht="13.5" customHeight="1" hidden="1">
      <c r="A133" s="107" t="s">
        <v>621</v>
      </c>
      <c r="B133" s="86" t="s">
        <v>1111</v>
      </c>
      <c r="C133" s="821">
        <v>6850</v>
      </c>
      <c r="D133" s="115"/>
      <c r="E133" s="26"/>
      <c r="F133" s="140"/>
      <c r="G133" s="71"/>
      <c r="H133" s="57"/>
      <c r="J133" s="123"/>
    </row>
    <row r="134" spans="1:9" s="9" customFormat="1" ht="13.5" customHeight="1" hidden="1">
      <c r="A134" s="107" t="s">
        <v>560</v>
      </c>
      <c r="B134" s="86" t="s">
        <v>561</v>
      </c>
      <c r="C134" s="821">
        <v>354000</v>
      </c>
      <c r="F134" s="115"/>
      <c r="G134" s="26"/>
      <c r="H134" s="57"/>
      <c r="I134" s="123"/>
    </row>
    <row r="135" spans="1:9" s="9" customFormat="1" ht="13.5" customHeight="1">
      <c r="A135" s="353" t="s">
        <v>120</v>
      </c>
      <c r="B135" s="95" t="s">
        <v>121</v>
      </c>
      <c r="C135" s="33">
        <f>SUM(C136:C137)</f>
        <v>68300</v>
      </c>
      <c r="F135" s="115"/>
      <c r="G135" s="26"/>
      <c r="H135" s="57"/>
      <c r="I135" s="123"/>
    </row>
    <row r="136" spans="1:9" s="9" customFormat="1" ht="13.5" customHeight="1" hidden="1">
      <c r="A136" s="107" t="s">
        <v>179</v>
      </c>
      <c r="B136" s="86" t="s">
        <v>178</v>
      </c>
      <c r="C136" s="821">
        <f>8800*6+5000</f>
        <v>57800</v>
      </c>
      <c r="F136" s="26"/>
      <c r="G136" s="26"/>
      <c r="H136" s="57"/>
      <c r="I136" s="123"/>
    </row>
    <row r="137" spans="1:8" s="9" customFormat="1" ht="13.5" customHeight="1" hidden="1">
      <c r="A137" s="86" t="s">
        <v>57</v>
      </c>
      <c r="B137" s="86" t="s">
        <v>18</v>
      </c>
      <c r="C137" s="821">
        <v>10500</v>
      </c>
      <c r="F137" s="124"/>
      <c r="G137" s="26"/>
      <c r="H137" s="57"/>
    </row>
    <row r="138" spans="1:9" s="9" customFormat="1" ht="13.5" customHeight="1">
      <c r="A138" s="95" t="s">
        <v>130</v>
      </c>
      <c r="B138" s="95" t="s">
        <v>131</v>
      </c>
      <c r="C138" s="33">
        <f>SUM(C139:C141)</f>
        <v>52000</v>
      </c>
      <c r="F138" s="115"/>
      <c r="G138" s="26"/>
      <c r="H138" s="57"/>
      <c r="I138" s="123"/>
    </row>
    <row r="139" spans="1:9" s="9" customFormat="1" ht="13.5" customHeight="1" hidden="1">
      <c r="A139" s="86" t="s">
        <v>327</v>
      </c>
      <c r="B139" s="57" t="s">
        <v>328</v>
      </c>
      <c r="C139" s="821">
        <v>31000</v>
      </c>
      <c r="F139" s="116"/>
      <c r="G139" s="26"/>
      <c r="H139" s="57"/>
      <c r="I139" s="123"/>
    </row>
    <row r="140" spans="1:9" s="9" customFormat="1" ht="13.5" customHeight="1" hidden="1">
      <c r="A140" s="86" t="s">
        <v>300</v>
      </c>
      <c r="B140" s="57" t="s">
        <v>301</v>
      </c>
      <c r="C140" s="821">
        <v>13500</v>
      </c>
      <c r="F140" s="115"/>
      <c r="G140" s="26"/>
      <c r="H140" s="57"/>
      <c r="I140" s="123"/>
    </row>
    <row r="141" spans="1:8" s="9" customFormat="1" ht="13.5" customHeight="1" hidden="1">
      <c r="A141" s="86" t="s">
        <v>148</v>
      </c>
      <c r="B141" s="86" t="s">
        <v>77</v>
      </c>
      <c r="C141" s="821">
        <v>7500</v>
      </c>
      <c r="F141" s="115"/>
      <c r="G141" s="26"/>
      <c r="H141" s="71"/>
    </row>
    <row r="142" spans="1:256" s="78" customFormat="1" ht="13.5">
      <c r="A142" s="353" t="s">
        <v>122</v>
      </c>
      <c r="B142" s="812" t="s">
        <v>175</v>
      </c>
      <c r="C142" s="33">
        <f>SUM(C143:C144)</f>
        <v>16500</v>
      </c>
      <c r="F142" s="26"/>
      <c r="G142" s="287"/>
      <c r="H142" s="748"/>
      <c r="I142" s="287"/>
      <c r="J142" s="748"/>
      <c r="K142" s="287"/>
      <c r="L142" s="748"/>
      <c r="M142" s="287"/>
      <c r="N142" s="748"/>
      <c r="O142" s="287"/>
      <c r="P142" s="748"/>
      <c r="Q142" s="287"/>
      <c r="R142" s="748"/>
      <c r="S142" s="287"/>
      <c r="T142" s="748"/>
      <c r="U142" s="287"/>
      <c r="V142" s="748"/>
      <c r="W142" s="287"/>
      <c r="X142" s="748"/>
      <c r="Y142" s="287"/>
      <c r="Z142" s="748"/>
      <c r="AA142" s="287"/>
      <c r="AB142" s="748"/>
      <c r="AC142" s="287"/>
      <c r="AD142" s="748"/>
      <c r="AE142" s="287"/>
      <c r="AF142" s="748"/>
      <c r="AG142" s="287"/>
      <c r="AH142" s="748"/>
      <c r="AI142" s="287"/>
      <c r="AJ142" s="748"/>
      <c r="AK142" s="287"/>
      <c r="AL142" s="748"/>
      <c r="AM142" s="287"/>
      <c r="AN142" s="748"/>
      <c r="AO142" s="287"/>
      <c r="AP142" s="748"/>
      <c r="AQ142" s="287"/>
      <c r="AR142" s="748"/>
      <c r="AS142" s="287"/>
      <c r="AT142" s="748"/>
      <c r="AU142" s="287"/>
      <c r="AV142" s="748"/>
      <c r="AW142" s="287"/>
      <c r="AX142" s="748"/>
      <c r="AY142" s="287"/>
      <c r="AZ142" s="748"/>
      <c r="BA142" s="287"/>
      <c r="BB142" s="748"/>
      <c r="BC142" s="287"/>
      <c r="BD142" s="748"/>
      <c r="BE142" s="287"/>
      <c r="BF142" s="748"/>
      <c r="BG142" s="287"/>
      <c r="BH142" s="748"/>
      <c r="BI142" s="287"/>
      <c r="BJ142" s="748"/>
      <c r="BK142" s="287"/>
      <c r="BL142" s="748"/>
      <c r="BM142" s="287"/>
      <c r="BN142" s="748"/>
      <c r="BO142" s="287"/>
      <c r="BP142" s="748"/>
      <c r="BQ142" s="287"/>
      <c r="BR142" s="748"/>
      <c r="BS142" s="287"/>
      <c r="BT142" s="748"/>
      <c r="BU142" s="287"/>
      <c r="BV142" s="748"/>
      <c r="BW142" s="287"/>
      <c r="BX142" s="748"/>
      <c r="BY142" s="287"/>
      <c r="BZ142" s="748"/>
      <c r="CA142" s="287"/>
      <c r="CB142" s="748"/>
      <c r="CC142" s="287"/>
      <c r="CD142" s="748"/>
      <c r="CE142" s="287"/>
      <c r="CF142" s="748"/>
      <c r="CG142" s="287"/>
      <c r="CH142" s="748"/>
      <c r="CI142" s="287"/>
      <c r="CJ142" s="748"/>
      <c r="CK142" s="287"/>
      <c r="CL142" s="748"/>
      <c r="CM142" s="287"/>
      <c r="CN142" s="748"/>
      <c r="CO142" s="287"/>
      <c r="CP142" s="748"/>
      <c r="CQ142" s="287"/>
      <c r="CR142" s="748"/>
      <c r="CS142" s="287"/>
      <c r="CT142" s="748"/>
      <c r="CU142" s="287"/>
      <c r="CV142" s="748"/>
      <c r="CW142" s="287"/>
      <c r="CX142" s="748"/>
      <c r="CY142" s="287"/>
      <c r="CZ142" s="748"/>
      <c r="DA142" s="287"/>
      <c r="DB142" s="748"/>
      <c r="DC142" s="287"/>
      <c r="DD142" s="748"/>
      <c r="DE142" s="287"/>
      <c r="DF142" s="748"/>
      <c r="DG142" s="287"/>
      <c r="DH142" s="748"/>
      <c r="DI142" s="287"/>
      <c r="DJ142" s="748"/>
      <c r="DK142" s="287"/>
      <c r="DL142" s="748"/>
      <c r="DM142" s="287"/>
      <c r="DN142" s="748"/>
      <c r="DO142" s="287"/>
      <c r="DP142" s="748"/>
      <c r="DQ142" s="287"/>
      <c r="DR142" s="748"/>
      <c r="DS142" s="287"/>
      <c r="DT142" s="748"/>
      <c r="DU142" s="287"/>
      <c r="DV142" s="748"/>
      <c r="DW142" s="287"/>
      <c r="DX142" s="748"/>
      <c r="DY142" s="287"/>
      <c r="DZ142" s="748"/>
      <c r="EA142" s="287"/>
      <c r="EB142" s="748"/>
      <c r="EC142" s="287"/>
      <c r="ED142" s="748"/>
      <c r="EE142" s="287"/>
      <c r="EF142" s="748"/>
      <c r="EG142" s="287"/>
      <c r="EH142" s="748"/>
      <c r="EI142" s="287"/>
      <c r="EJ142" s="748"/>
      <c r="EK142" s="287"/>
      <c r="EL142" s="748"/>
      <c r="EM142" s="287"/>
      <c r="EN142" s="748"/>
      <c r="EO142" s="287"/>
      <c r="EP142" s="748"/>
      <c r="EQ142" s="287"/>
      <c r="ER142" s="748"/>
      <c r="ES142" s="287"/>
      <c r="ET142" s="748"/>
      <c r="EU142" s="287"/>
      <c r="EV142" s="748"/>
      <c r="EW142" s="287"/>
      <c r="EX142" s="748"/>
      <c r="EY142" s="287"/>
      <c r="EZ142" s="748"/>
      <c r="FA142" s="287"/>
      <c r="FB142" s="748"/>
      <c r="FC142" s="287"/>
      <c r="FD142" s="748"/>
      <c r="FE142" s="287"/>
      <c r="FF142" s="748"/>
      <c r="FG142" s="287"/>
      <c r="FH142" s="748"/>
      <c r="FI142" s="287"/>
      <c r="FJ142" s="748"/>
      <c r="FK142" s="287"/>
      <c r="FL142" s="748"/>
      <c r="FM142" s="287"/>
      <c r="FN142" s="748"/>
      <c r="FO142" s="287"/>
      <c r="FP142" s="748"/>
      <c r="FQ142" s="287"/>
      <c r="FR142" s="748"/>
      <c r="FS142" s="287"/>
      <c r="FT142" s="748"/>
      <c r="FU142" s="287"/>
      <c r="FV142" s="748"/>
      <c r="FW142" s="287"/>
      <c r="FX142" s="748"/>
      <c r="FY142" s="287"/>
      <c r="FZ142" s="748"/>
      <c r="GA142" s="287"/>
      <c r="GB142" s="748"/>
      <c r="GC142" s="287"/>
      <c r="GD142" s="748"/>
      <c r="GE142" s="287"/>
      <c r="GF142" s="748"/>
      <c r="GG142" s="287"/>
      <c r="GH142" s="748"/>
      <c r="GI142" s="287"/>
      <c r="GJ142" s="748"/>
      <c r="GK142" s="287"/>
      <c r="GL142" s="748"/>
      <c r="GM142" s="287"/>
      <c r="GN142" s="748"/>
      <c r="GO142" s="287"/>
      <c r="GP142" s="748"/>
      <c r="GQ142" s="287"/>
      <c r="GR142" s="748"/>
      <c r="GS142" s="287"/>
      <c r="GT142" s="748"/>
      <c r="GU142" s="287"/>
      <c r="GV142" s="748"/>
      <c r="GW142" s="287"/>
      <c r="GX142" s="748"/>
      <c r="GY142" s="287"/>
      <c r="GZ142" s="748"/>
      <c r="HA142" s="287"/>
      <c r="HB142" s="748"/>
      <c r="HC142" s="287"/>
      <c r="HD142" s="748"/>
      <c r="HE142" s="287"/>
      <c r="HF142" s="748"/>
      <c r="HG142" s="287"/>
      <c r="HH142" s="748"/>
      <c r="HI142" s="287"/>
      <c r="HJ142" s="748"/>
      <c r="HK142" s="287"/>
      <c r="HL142" s="748"/>
      <c r="HM142" s="287"/>
      <c r="HN142" s="748"/>
      <c r="HO142" s="287"/>
      <c r="HP142" s="748"/>
      <c r="HQ142" s="287"/>
      <c r="HR142" s="748"/>
      <c r="HS142" s="287"/>
      <c r="HT142" s="748"/>
      <c r="HU142" s="287"/>
      <c r="HV142" s="748"/>
      <c r="HW142" s="287"/>
      <c r="HX142" s="748"/>
      <c r="HY142" s="287"/>
      <c r="HZ142" s="748"/>
      <c r="IA142" s="287"/>
      <c r="IB142" s="748"/>
      <c r="IC142" s="287"/>
      <c r="ID142" s="748"/>
      <c r="IE142" s="287"/>
      <c r="IF142" s="748"/>
      <c r="IG142" s="287"/>
      <c r="IH142" s="748"/>
      <c r="II142" s="287"/>
      <c r="IJ142" s="748"/>
      <c r="IK142" s="287"/>
      <c r="IL142" s="748"/>
      <c r="IM142" s="287"/>
      <c r="IN142" s="748"/>
      <c r="IO142" s="287"/>
      <c r="IP142" s="748"/>
      <c r="IQ142" s="287"/>
      <c r="IR142" s="748"/>
      <c r="IS142" s="287"/>
      <c r="IT142" s="748"/>
      <c r="IU142" s="287"/>
      <c r="IV142" s="748"/>
    </row>
    <row r="143" spans="1:7" s="78" customFormat="1" ht="13.5" hidden="1">
      <c r="A143" s="107" t="s">
        <v>150</v>
      </c>
      <c r="B143" s="86" t="s">
        <v>149</v>
      </c>
      <c r="C143" s="822">
        <v>5000</v>
      </c>
      <c r="F143" s="96"/>
      <c r="G143" s="643"/>
    </row>
    <row r="144" spans="1:7" s="78" customFormat="1" ht="13.5" hidden="1">
      <c r="A144" s="107" t="s">
        <v>53</v>
      </c>
      <c r="B144" s="25" t="s">
        <v>97</v>
      </c>
      <c r="C144" s="822">
        <v>11500</v>
      </c>
      <c r="F144" s="87"/>
      <c r="G144" s="79"/>
    </row>
    <row r="145" spans="1:7" s="78" customFormat="1" ht="13.5">
      <c r="A145" s="353" t="s">
        <v>123</v>
      </c>
      <c r="B145" s="33" t="s">
        <v>124</v>
      </c>
      <c r="C145" s="96">
        <f>SUM(C146:C146)</f>
        <v>70400</v>
      </c>
      <c r="F145" s="87"/>
      <c r="G145" s="79"/>
    </row>
    <row r="146" spans="1:7" s="78" customFormat="1" ht="13.5" hidden="1">
      <c r="A146" s="107" t="s">
        <v>98</v>
      </c>
      <c r="B146" s="25" t="s">
        <v>69</v>
      </c>
      <c r="C146" s="822">
        <v>70400</v>
      </c>
      <c r="F146" s="87"/>
      <c r="G146" s="79"/>
    </row>
    <row r="147" spans="1:7" s="78" customFormat="1" ht="13.5">
      <c r="A147" s="353" t="s">
        <v>143</v>
      </c>
      <c r="B147" s="95" t="s">
        <v>61</v>
      </c>
      <c r="C147" s="96">
        <f>SUM(C148)</f>
        <v>4500</v>
      </c>
      <c r="F147" s="87"/>
      <c r="G147" s="79"/>
    </row>
    <row r="148" spans="1:7" s="78" customFormat="1" ht="13.5" hidden="1">
      <c r="A148" s="107" t="s">
        <v>60</v>
      </c>
      <c r="B148" s="86" t="s">
        <v>61</v>
      </c>
      <c r="C148" s="822">
        <v>4500</v>
      </c>
      <c r="F148" s="87"/>
      <c r="G148" s="79"/>
    </row>
    <row r="149" spans="1:6" s="78" customFormat="1" ht="13.5">
      <c r="A149" s="353" t="s">
        <v>125</v>
      </c>
      <c r="B149" s="33" t="s">
        <v>8</v>
      </c>
      <c r="C149" s="96">
        <f>SUM(C150:C153)</f>
        <v>66650</v>
      </c>
      <c r="D149" s="87"/>
      <c r="E149" s="79"/>
      <c r="F149" s="79"/>
    </row>
    <row r="150" spans="1:6" s="100" customFormat="1" ht="13.5" hidden="1">
      <c r="A150" s="107" t="s">
        <v>102</v>
      </c>
      <c r="B150" s="25" t="s">
        <v>8</v>
      </c>
      <c r="C150" s="822">
        <v>10000</v>
      </c>
      <c r="D150" s="87"/>
      <c r="E150" s="79"/>
      <c r="F150" s="79"/>
    </row>
    <row r="151" spans="1:6" s="78" customFormat="1" ht="13.5" hidden="1">
      <c r="A151" s="107" t="s">
        <v>104</v>
      </c>
      <c r="B151" s="25" t="s">
        <v>54</v>
      </c>
      <c r="C151" s="822">
        <v>5000</v>
      </c>
      <c r="E151" s="288"/>
      <c r="F151" s="79"/>
    </row>
    <row r="152" spans="1:256" s="78" customFormat="1" ht="13.5" hidden="1">
      <c r="A152" s="13" t="s">
        <v>242</v>
      </c>
      <c r="B152" s="57" t="s">
        <v>241</v>
      </c>
      <c r="C152" s="821">
        <v>46650</v>
      </c>
      <c r="D152" s="26"/>
      <c r="E152" s="287"/>
      <c r="F152" s="748"/>
      <c r="G152" s="287"/>
      <c r="H152" s="748"/>
      <c r="I152" s="287"/>
      <c r="J152" s="748"/>
      <c r="K152" s="287"/>
      <c r="L152" s="748"/>
      <c r="M152" s="287"/>
      <c r="N152" s="748"/>
      <c r="O152" s="287"/>
      <c r="P152" s="748"/>
      <c r="Q152" s="287"/>
      <c r="R152" s="748"/>
      <c r="S152" s="287"/>
      <c r="T152" s="748"/>
      <c r="U152" s="287"/>
      <c r="V152" s="748"/>
      <c r="W152" s="287"/>
      <c r="X152" s="748"/>
      <c r="Y152" s="287"/>
      <c r="Z152" s="748"/>
      <c r="AA152" s="287"/>
      <c r="AB152" s="748"/>
      <c r="AC152" s="287"/>
      <c r="AD152" s="748"/>
      <c r="AE152" s="287"/>
      <c r="AF152" s="748"/>
      <c r="AG152" s="287"/>
      <c r="AH152" s="748"/>
      <c r="AI152" s="287"/>
      <c r="AJ152" s="748"/>
      <c r="AK152" s="287"/>
      <c r="AL152" s="748"/>
      <c r="AM152" s="287"/>
      <c r="AN152" s="748"/>
      <c r="AO152" s="287"/>
      <c r="AP152" s="748"/>
      <c r="AQ152" s="287"/>
      <c r="AR152" s="748"/>
      <c r="AS152" s="287"/>
      <c r="AT152" s="748"/>
      <c r="AU152" s="287"/>
      <c r="AV152" s="748"/>
      <c r="AW152" s="287"/>
      <c r="AX152" s="748"/>
      <c r="AY152" s="287"/>
      <c r="AZ152" s="748"/>
      <c r="BA152" s="287"/>
      <c r="BB152" s="748"/>
      <c r="BC152" s="287"/>
      <c r="BD152" s="748"/>
      <c r="BE152" s="287"/>
      <c r="BF152" s="748"/>
      <c r="BG152" s="287"/>
      <c r="BH152" s="748"/>
      <c r="BI152" s="287"/>
      <c r="BJ152" s="748"/>
      <c r="BK152" s="287"/>
      <c r="BL152" s="748"/>
      <c r="BM152" s="287"/>
      <c r="BN152" s="748"/>
      <c r="BO152" s="287"/>
      <c r="BP152" s="748"/>
      <c r="BQ152" s="287"/>
      <c r="BR152" s="748"/>
      <c r="BS152" s="287"/>
      <c r="BT152" s="748"/>
      <c r="BU152" s="287"/>
      <c r="BV152" s="748"/>
      <c r="BW152" s="287"/>
      <c r="BX152" s="748"/>
      <c r="BY152" s="287"/>
      <c r="BZ152" s="748"/>
      <c r="CA152" s="287"/>
      <c r="CB152" s="748"/>
      <c r="CC152" s="287"/>
      <c r="CD152" s="748"/>
      <c r="CE152" s="287"/>
      <c r="CF152" s="748"/>
      <c r="CG152" s="287"/>
      <c r="CH152" s="748"/>
      <c r="CI152" s="287"/>
      <c r="CJ152" s="748"/>
      <c r="CK152" s="287"/>
      <c r="CL152" s="748"/>
      <c r="CM152" s="287"/>
      <c r="CN152" s="748"/>
      <c r="CO152" s="287"/>
      <c r="CP152" s="748"/>
      <c r="CQ152" s="287"/>
      <c r="CR152" s="748"/>
      <c r="CS152" s="287"/>
      <c r="CT152" s="748"/>
      <c r="CU152" s="287"/>
      <c r="CV152" s="748"/>
      <c r="CW152" s="287"/>
      <c r="CX152" s="748"/>
      <c r="CY152" s="287"/>
      <c r="CZ152" s="748"/>
      <c r="DA152" s="287"/>
      <c r="DB152" s="748"/>
      <c r="DC152" s="287"/>
      <c r="DD152" s="748"/>
      <c r="DE152" s="287"/>
      <c r="DF152" s="748"/>
      <c r="DG152" s="287"/>
      <c r="DH152" s="748"/>
      <c r="DI152" s="287"/>
      <c r="DJ152" s="748"/>
      <c r="DK152" s="287"/>
      <c r="DL152" s="748"/>
      <c r="DM152" s="287"/>
      <c r="DN152" s="748"/>
      <c r="DO152" s="287"/>
      <c r="DP152" s="748"/>
      <c r="DQ152" s="287"/>
      <c r="DR152" s="748"/>
      <c r="DS152" s="287"/>
      <c r="DT152" s="748"/>
      <c r="DU152" s="287"/>
      <c r="DV152" s="748"/>
      <c r="DW152" s="287"/>
      <c r="DX152" s="748"/>
      <c r="DY152" s="287"/>
      <c r="DZ152" s="748"/>
      <c r="EA152" s="287"/>
      <c r="EB152" s="748"/>
      <c r="EC152" s="287"/>
      <c r="ED152" s="748"/>
      <c r="EE152" s="287"/>
      <c r="EF152" s="748"/>
      <c r="EG152" s="287"/>
      <c r="EH152" s="748"/>
      <c r="EI152" s="287"/>
      <c r="EJ152" s="748"/>
      <c r="EK152" s="287"/>
      <c r="EL152" s="748"/>
      <c r="EM152" s="287"/>
      <c r="EN152" s="748"/>
      <c r="EO152" s="287"/>
      <c r="EP152" s="748"/>
      <c r="EQ152" s="287"/>
      <c r="ER152" s="748"/>
      <c r="ES152" s="287"/>
      <c r="ET152" s="748"/>
      <c r="EU152" s="287"/>
      <c r="EV152" s="748"/>
      <c r="EW152" s="287"/>
      <c r="EX152" s="748"/>
      <c r="EY152" s="287"/>
      <c r="EZ152" s="748"/>
      <c r="FA152" s="287"/>
      <c r="FB152" s="748"/>
      <c r="FC152" s="287"/>
      <c r="FD152" s="748"/>
      <c r="FE152" s="287"/>
      <c r="FF152" s="748"/>
      <c r="FG152" s="287"/>
      <c r="FH152" s="748"/>
      <c r="FI152" s="287"/>
      <c r="FJ152" s="748"/>
      <c r="FK152" s="287"/>
      <c r="FL152" s="748"/>
      <c r="FM152" s="287"/>
      <c r="FN152" s="748"/>
      <c r="FO152" s="287"/>
      <c r="FP152" s="748"/>
      <c r="FQ152" s="287"/>
      <c r="FR152" s="748"/>
      <c r="FS152" s="287"/>
      <c r="FT152" s="748"/>
      <c r="FU152" s="287"/>
      <c r="FV152" s="748"/>
      <c r="FW152" s="287"/>
      <c r="FX152" s="748"/>
      <c r="FY152" s="287"/>
      <c r="FZ152" s="748"/>
      <c r="GA152" s="287"/>
      <c r="GB152" s="748"/>
      <c r="GC152" s="287"/>
      <c r="GD152" s="748"/>
      <c r="GE152" s="287"/>
      <c r="GF152" s="748"/>
      <c r="GG152" s="287"/>
      <c r="GH152" s="748"/>
      <c r="GI152" s="287"/>
      <c r="GJ152" s="748"/>
      <c r="GK152" s="287"/>
      <c r="GL152" s="748"/>
      <c r="GM152" s="287"/>
      <c r="GN152" s="748"/>
      <c r="GO152" s="287"/>
      <c r="GP152" s="748"/>
      <c r="GQ152" s="287"/>
      <c r="GR152" s="748"/>
      <c r="GS152" s="287"/>
      <c r="GT152" s="748"/>
      <c r="GU152" s="287"/>
      <c r="GV152" s="748"/>
      <c r="GW152" s="287"/>
      <c r="GX152" s="748"/>
      <c r="GY152" s="287"/>
      <c r="GZ152" s="748"/>
      <c r="HA152" s="287"/>
      <c r="HB152" s="748"/>
      <c r="HC152" s="287"/>
      <c r="HD152" s="748"/>
      <c r="HE152" s="287"/>
      <c r="HF152" s="748"/>
      <c r="HG152" s="287"/>
      <c r="HH152" s="748"/>
      <c r="HI152" s="287"/>
      <c r="HJ152" s="748"/>
      <c r="HK152" s="287"/>
      <c r="HL152" s="748"/>
      <c r="HM152" s="287"/>
      <c r="HN152" s="748"/>
      <c r="HO152" s="287"/>
      <c r="HP152" s="748"/>
      <c r="HQ152" s="287"/>
      <c r="HR152" s="748"/>
      <c r="HS152" s="287"/>
      <c r="HT152" s="748"/>
      <c r="HU152" s="287"/>
      <c r="HV152" s="748"/>
      <c r="HW152" s="287"/>
      <c r="HX152" s="748"/>
      <c r="HY152" s="287"/>
      <c r="HZ152" s="748"/>
      <c r="IA152" s="287"/>
      <c r="IB152" s="748"/>
      <c r="IC152" s="287"/>
      <c r="ID152" s="748"/>
      <c r="IE152" s="287"/>
      <c r="IF152" s="748"/>
      <c r="IG152" s="287"/>
      <c r="IH152" s="748"/>
      <c r="II152" s="287"/>
      <c r="IJ152" s="748"/>
      <c r="IK152" s="287"/>
      <c r="IL152" s="748"/>
      <c r="IM152" s="287"/>
      <c r="IN152" s="748"/>
      <c r="IO152" s="287"/>
      <c r="IP152" s="748"/>
      <c r="IQ152" s="287"/>
      <c r="IR152" s="748"/>
      <c r="IS152" s="287"/>
      <c r="IT152" s="748"/>
      <c r="IU152" s="287"/>
      <c r="IV152" s="748"/>
    </row>
    <row r="153" spans="1:6" s="78" customFormat="1" ht="13.5" hidden="1">
      <c r="A153" s="107" t="s">
        <v>100</v>
      </c>
      <c r="B153" s="25" t="s">
        <v>7</v>
      </c>
      <c r="C153" s="822">
        <v>5000</v>
      </c>
      <c r="D153" s="96"/>
      <c r="E153" s="288"/>
      <c r="F153" s="79"/>
    </row>
    <row r="154" spans="1:6" s="78" customFormat="1" ht="14.25" thickBot="1">
      <c r="A154" s="107"/>
      <c r="B154" s="25"/>
      <c r="C154" s="87"/>
      <c r="D154" s="96"/>
      <c r="E154" s="288"/>
      <c r="F154" s="79"/>
    </row>
    <row r="155" spans="1:5" s="100" customFormat="1" ht="14.25" thickBot="1">
      <c r="A155" s="959" t="s">
        <v>4</v>
      </c>
      <c r="B155" s="960"/>
      <c r="C155" s="103">
        <f>C156+C158+C160</f>
        <v>46500</v>
      </c>
      <c r="D155" s="102"/>
      <c r="E155" s="751"/>
    </row>
    <row r="156" spans="1:5" s="78" customFormat="1" ht="13.5">
      <c r="A156" s="353" t="s">
        <v>126</v>
      </c>
      <c r="B156" s="286" t="s">
        <v>127</v>
      </c>
      <c r="C156" s="96">
        <f>SUM(C157)</f>
        <v>10500</v>
      </c>
      <c r="D156" s="79"/>
      <c r="E156" s="750"/>
    </row>
    <row r="157" spans="1:5" s="100" customFormat="1" ht="13.5" hidden="1">
      <c r="A157" s="107" t="s">
        <v>101</v>
      </c>
      <c r="B157" s="86" t="s">
        <v>152</v>
      </c>
      <c r="C157" s="822">
        <v>10500</v>
      </c>
      <c r="D157" s="102"/>
      <c r="E157" s="102"/>
    </row>
    <row r="158" spans="1:5" s="100" customFormat="1" ht="13.5">
      <c r="A158" s="813" t="s">
        <v>142</v>
      </c>
      <c r="B158" s="95" t="s">
        <v>371</v>
      </c>
      <c r="C158" s="811">
        <f>SUM(C159)</f>
        <v>30000</v>
      </c>
      <c r="D158" s="102"/>
      <c r="E158" s="102"/>
    </row>
    <row r="159" spans="1:5" s="100" customFormat="1" ht="13.5" hidden="1">
      <c r="A159" s="105" t="s">
        <v>185</v>
      </c>
      <c r="B159" s="86" t="s">
        <v>371</v>
      </c>
      <c r="C159" s="822">
        <v>30000</v>
      </c>
      <c r="D159" s="102"/>
      <c r="E159" s="102"/>
    </row>
    <row r="160" spans="1:5" s="100" customFormat="1" ht="13.5">
      <c r="A160" s="353" t="s">
        <v>128</v>
      </c>
      <c r="B160" s="33" t="s">
        <v>146</v>
      </c>
      <c r="C160" s="811">
        <f>SUM(C161)</f>
        <v>6000</v>
      </c>
      <c r="D160" s="102"/>
      <c r="E160" s="102"/>
    </row>
    <row r="161" spans="1:5" s="100" customFormat="1" ht="13.5" hidden="1">
      <c r="A161" s="107" t="s">
        <v>239</v>
      </c>
      <c r="B161" s="25" t="s">
        <v>56</v>
      </c>
      <c r="C161" s="822">
        <v>6000</v>
      </c>
      <c r="D161" s="102"/>
      <c r="E161" s="102"/>
    </row>
    <row r="162" spans="1:5" s="100" customFormat="1" ht="13.5">
      <c r="A162" s="105"/>
      <c r="B162" s="105"/>
      <c r="C162" s="101"/>
      <c r="D162" s="102"/>
      <c r="E162" s="124"/>
    </row>
    <row r="163" spans="3:5" s="100" customFormat="1" ht="13.5">
      <c r="C163" s="102"/>
      <c r="D163" s="102"/>
      <c r="E163" s="124"/>
    </row>
    <row r="164" ht="14.25" thickBot="1"/>
    <row r="165" spans="1:5" ht="12.75">
      <c r="A165" s="72" t="s">
        <v>1150</v>
      </c>
      <c r="B165" s="73"/>
      <c r="C165" s="74"/>
      <c r="D165" s="75" t="s">
        <v>6</v>
      </c>
      <c r="E165" s="740" t="s">
        <v>1151</v>
      </c>
    </row>
    <row r="166" spans="1:5" ht="13.5" thickBot="1">
      <c r="A166" s="81"/>
      <c r="B166" s="82"/>
      <c r="C166" s="83"/>
      <c r="D166" s="174"/>
      <c r="E166" s="741"/>
    </row>
    <row r="167" spans="1:5" ht="13.5">
      <c r="A167" s="85" t="s">
        <v>1365</v>
      </c>
      <c r="B167" s="86"/>
      <c r="C167" s="87"/>
      <c r="D167" s="87"/>
      <c r="E167" s="742"/>
    </row>
    <row r="168" spans="1:5" ht="13.5">
      <c r="A168" s="85" t="s">
        <v>1152</v>
      </c>
      <c r="B168" s="86"/>
      <c r="C168" s="87"/>
      <c r="D168" s="87"/>
      <c r="E168" s="742"/>
    </row>
    <row r="169" spans="1:5" ht="13.5">
      <c r="A169" s="85" t="s">
        <v>1421</v>
      </c>
      <c r="B169" s="86"/>
      <c r="C169" s="87"/>
      <c r="D169" s="87"/>
      <c r="E169" s="742"/>
    </row>
    <row r="170" spans="1:5" ht="14.25" thickBot="1">
      <c r="A170" s="85" t="s">
        <v>16</v>
      </c>
      <c r="B170" s="86"/>
      <c r="C170" s="87"/>
      <c r="D170" s="87"/>
      <c r="E170" s="742"/>
    </row>
    <row r="171" spans="1:7" ht="14.25" thickBot="1">
      <c r="A171" s="89" t="s">
        <v>17</v>
      </c>
      <c r="B171" s="90"/>
      <c r="C171" s="91"/>
      <c r="D171" s="92"/>
      <c r="E171" s="743">
        <f>C173+C179+C184</f>
        <v>68400</v>
      </c>
      <c r="F171" s="739"/>
      <c r="G171" s="94"/>
    </row>
    <row r="172" spans="1:5" s="104" customFormat="1" ht="14.25" thickBot="1">
      <c r="A172" s="95"/>
      <c r="B172" s="95"/>
      <c r="C172" s="96"/>
      <c r="D172" s="96"/>
      <c r="E172" s="745"/>
    </row>
    <row r="173" spans="1:7" s="100" customFormat="1" ht="14.25" thickBot="1">
      <c r="A173" s="955" t="s">
        <v>2</v>
      </c>
      <c r="B173" s="956"/>
      <c r="C173" s="97">
        <f>C174+C176</f>
        <v>15100</v>
      </c>
      <c r="D173" s="102"/>
      <c r="E173" s="752"/>
      <c r="F173" s="847"/>
      <c r="G173" s="78"/>
    </row>
    <row r="174" spans="1:5" s="100" customFormat="1" ht="13.5">
      <c r="A174" s="12" t="s">
        <v>117</v>
      </c>
      <c r="B174" s="791" t="s">
        <v>118</v>
      </c>
      <c r="C174" s="811">
        <f>SUM(C175)</f>
        <v>8500</v>
      </c>
      <c r="D174" s="102"/>
      <c r="E174" s="124"/>
    </row>
    <row r="175" spans="1:5" s="9" customFormat="1" ht="13.5" customHeight="1" hidden="1">
      <c r="A175" s="13" t="s">
        <v>51</v>
      </c>
      <c r="B175" s="25" t="s">
        <v>52</v>
      </c>
      <c r="C175" s="821">
        <v>8500</v>
      </c>
      <c r="D175" s="115"/>
      <c r="E175" s="26"/>
    </row>
    <row r="176" spans="1:5" s="9" customFormat="1" ht="13.5" customHeight="1">
      <c r="A176" s="353" t="s">
        <v>169</v>
      </c>
      <c r="B176" s="33" t="s">
        <v>135</v>
      </c>
      <c r="C176" s="26">
        <f>SUM(C177)</f>
        <v>6600</v>
      </c>
      <c r="D176" s="115"/>
      <c r="E176" s="26"/>
    </row>
    <row r="177" spans="1:5" s="9" customFormat="1" ht="13.5" customHeight="1" hidden="1">
      <c r="A177" s="107" t="s">
        <v>1153</v>
      </c>
      <c r="B177" s="25" t="s">
        <v>144</v>
      </c>
      <c r="C177" s="821">
        <v>6600</v>
      </c>
      <c r="D177" s="115"/>
      <c r="E177" s="26"/>
    </row>
    <row r="178" spans="1:8" s="9" customFormat="1" ht="13.5" customHeight="1" thickBot="1">
      <c r="A178" s="107"/>
      <c r="B178" s="25"/>
      <c r="C178" s="24"/>
      <c r="D178" s="115"/>
      <c r="E178" s="26"/>
      <c r="F178" s="286"/>
      <c r="G178" s="71"/>
      <c r="H178" s="109"/>
    </row>
    <row r="179" spans="1:5" s="100" customFormat="1" ht="14.25" thickBot="1">
      <c r="A179" s="957" t="s">
        <v>3</v>
      </c>
      <c r="B179" s="958"/>
      <c r="C179" s="98">
        <f>C180</f>
        <v>13400</v>
      </c>
      <c r="D179" s="79"/>
      <c r="E179" s="252"/>
    </row>
    <row r="180" spans="1:6" s="78" customFormat="1" ht="13.5">
      <c r="A180" s="353" t="s">
        <v>125</v>
      </c>
      <c r="B180" s="33" t="s">
        <v>8</v>
      </c>
      <c r="C180" s="96">
        <f>SUM(C181:C182)</f>
        <v>13400</v>
      </c>
      <c r="D180" s="87"/>
      <c r="E180" s="79"/>
      <c r="F180" s="79"/>
    </row>
    <row r="181" spans="1:6" s="78" customFormat="1" ht="13.5" hidden="1">
      <c r="A181" s="107" t="s">
        <v>102</v>
      </c>
      <c r="B181" s="25" t="s">
        <v>8</v>
      </c>
      <c r="C181" s="822">
        <v>9900</v>
      </c>
      <c r="D181" s="26"/>
      <c r="E181" s="288"/>
      <c r="F181" s="79"/>
    </row>
    <row r="182" spans="1:6" s="100" customFormat="1" ht="13.5" hidden="1">
      <c r="A182" s="107" t="s">
        <v>100</v>
      </c>
      <c r="B182" s="25" t="s">
        <v>7</v>
      </c>
      <c r="C182" s="822">
        <v>3500</v>
      </c>
      <c r="D182" s="87"/>
      <c r="E182" s="79"/>
      <c r="F182" s="79"/>
    </row>
    <row r="183" spans="1:6" s="100" customFormat="1" ht="14.25" thickBot="1">
      <c r="A183" s="107"/>
      <c r="B183" s="25"/>
      <c r="C183" s="101"/>
      <c r="D183" s="87"/>
      <c r="E183" s="79"/>
      <c r="F183" s="79"/>
    </row>
    <row r="184" spans="1:5" s="100" customFormat="1" ht="14.25" thickBot="1">
      <c r="A184" s="959" t="s">
        <v>4</v>
      </c>
      <c r="B184" s="960"/>
      <c r="C184" s="103">
        <f>C185+C187+C189</f>
        <v>39900</v>
      </c>
      <c r="D184" s="102"/>
      <c r="E184" s="124"/>
    </row>
    <row r="185" spans="1:5" s="78" customFormat="1" ht="13.5">
      <c r="A185" s="353" t="s">
        <v>126</v>
      </c>
      <c r="B185" s="286" t="s">
        <v>127</v>
      </c>
      <c r="C185" s="96">
        <f>SUM(C186)</f>
        <v>9400</v>
      </c>
      <c r="D185" s="79"/>
      <c r="E185" s="252"/>
    </row>
    <row r="186" spans="1:5" s="100" customFormat="1" ht="13.5" hidden="1">
      <c r="A186" s="107" t="s">
        <v>101</v>
      </c>
      <c r="B186" s="86" t="s">
        <v>152</v>
      </c>
      <c r="C186" s="822">
        <v>9400</v>
      </c>
      <c r="D186" s="102"/>
      <c r="E186" s="102"/>
    </row>
    <row r="187" spans="1:5" s="100" customFormat="1" ht="13.5">
      <c r="A187" s="813" t="s">
        <v>142</v>
      </c>
      <c r="B187" s="95" t="s">
        <v>371</v>
      </c>
      <c r="C187" s="811">
        <f>SUM(C188)</f>
        <v>25000</v>
      </c>
      <c r="D187" s="102"/>
      <c r="E187" s="102"/>
    </row>
    <row r="188" spans="1:5" s="100" customFormat="1" ht="13.5" hidden="1">
      <c r="A188" s="105" t="s">
        <v>185</v>
      </c>
      <c r="B188" s="86" t="s">
        <v>371</v>
      </c>
      <c r="C188" s="822">
        <v>25000</v>
      </c>
      <c r="D188" s="102"/>
      <c r="E188" s="102"/>
    </row>
    <row r="189" spans="1:5" s="100" customFormat="1" ht="13.5">
      <c r="A189" s="353" t="s">
        <v>128</v>
      </c>
      <c r="B189" s="33" t="s">
        <v>146</v>
      </c>
      <c r="C189" s="811">
        <f>SUM(C190)</f>
        <v>5500</v>
      </c>
      <c r="D189" s="102"/>
      <c r="E189" s="102"/>
    </row>
    <row r="190" spans="1:5" s="100" customFormat="1" ht="13.5" hidden="1">
      <c r="A190" s="107" t="s">
        <v>239</v>
      </c>
      <c r="B190" s="25" t="s">
        <v>56</v>
      </c>
      <c r="C190" s="822">
        <v>5500</v>
      </c>
      <c r="D190" s="102"/>
      <c r="E190" s="102"/>
    </row>
    <row r="191" spans="3:5" s="100" customFormat="1" ht="13.5">
      <c r="C191" s="102"/>
      <c r="D191" s="102"/>
      <c r="E191" s="124"/>
    </row>
    <row r="192" spans="3:5" s="100" customFormat="1" ht="13.5">
      <c r="C192" s="102"/>
      <c r="D192" s="102"/>
      <c r="E192" s="124"/>
    </row>
    <row r="193" spans="3:5" s="100" customFormat="1" ht="13.5">
      <c r="C193" s="102"/>
      <c r="D193" s="102"/>
      <c r="E193" s="124"/>
    </row>
  </sheetData>
  <sheetProtection/>
  <mergeCells count="10">
    <mergeCell ref="A155:B155"/>
    <mergeCell ref="A173:B173"/>
    <mergeCell ref="A179:B179"/>
    <mergeCell ref="A184:B184"/>
    <mergeCell ref="A12:B12"/>
    <mergeCell ref="A47:B47"/>
    <mergeCell ref="A64:B64"/>
    <mergeCell ref="A91:B91"/>
    <mergeCell ref="A111:B111"/>
    <mergeCell ref="A128:B128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Narrow,Normal"&amp;8Justicia Administrativa Municipal de Faltas
Página &amp;P de &amp;N</oddFooter>
  </headerFooter>
  <rowBreaks count="1" manualBreakCount="1">
    <brk id="9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6"/>
  <sheetViews>
    <sheetView workbookViewId="0" topLeftCell="A104">
      <selection activeCell="F136" sqref="F136"/>
    </sheetView>
  </sheetViews>
  <sheetFormatPr defaultColWidth="11.421875" defaultRowHeight="12.75"/>
  <cols>
    <col min="1" max="1" width="9.7109375" style="68" customWidth="1"/>
    <col min="2" max="2" width="46.7109375" style="68" customWidth="1"/>
    <col min="3" max="3" width="12.7109375" style="94" customWidth="1"/>
    <col min="4" max="4" width="10.7109375" style="94" customWidth="1"/>
    <col min="5" max="5" width="13.7109375" style="94" customWidth="1"/>
    <col min="6" max="6" width="17.57421875" style="68" customWidth="1"/>
    <col min="7" max="7" width="12.140625" style="68" customWidth="1"/>
    <col min="8" max="16384" width="11.421875" style="68" customWidth="1"/>
  </cols>
  <sheetData>
    <row r="1" ht="12.75">
      <c r="A1" s="630" t="s">
        <v>1118</v>
      </c>
    </row>
    <row r="2" spans="1:4" ht="13.5">
      <c r="A2" s="630"/>
      <c r="D2" s="753"/>
    </row>
    <row r="3" ht="13.5" thickBot="1"/>
    <row r="4" spans="1:5" ht="12.75">
      <c r="A4" s="64" t="s">
        <v>1159</v>
      </c>
      <c r="B4" s="221"/>
      <c r="C4" s="65"/>
      <c r="D4" s="67" t="s">
        <v>6</v>
      </c>
      <c r="E4" s="516" t="s">
        <v>1119</v>
      </c>
    </row>
    <row r="5" spans="1:5" ht="13.5" thickBot="1">
      <c r="A5" s="49"/>
      <c r="B5" s="205"/>
      <c r="C5" s="119"/>
      <c r="D5" s="121"/>
      <c r="E5" s="517"/>
    </row>
    <row r="6" spans="1:5" s="100" customFormat="1" ht="12.75">
      <c r="A6" s="45" t="s">
        <v>1132</v>
      </c>
      <c r="B6" s="208"/>
      <c r="C6" s="172"/>
      <c r="D6" s="172"/>
      <c r="E6" s="450"/>
    </row>
    <row r="7" spans="1:5" ht="12.75">
      <c r="A7" s="45" t="s">
        <v>1133</v>
      </c>
      <c r="B7" s="208"/>
      <c r="C7" s="172"/>
      <c r="D7" s="577"/>
      <c r="E7" s="542"/>
    </row>
    <row r="8" spans="1:5" ht="12.75">
      <c r="A8" s="45" t="s">
        <v>1134</v>
      </c>
      <c r="B8" s="208"/>
      <c r="C8" s="172"/>
      <c r="D8" s="577"/>
      <c r="E8" s="542"/>
    </row>
    <row r="9" spans="1:5" ht="12.75">
      <c r="A9" s="45" t="s">
        <v>1135</v>
      </c>
      <c r="B9" s="208"/>
      <c r="C9" s="172"/>
      <c r="D9" s="577"/>
      <c r="E9" s="542"/>
    </row>
    <row r="10" spans="1:5" ht="12.75">
      <c r="A10" s="45" t="s">
        <v>1136</v>
      </c>
      <c r="B10" s="208"/>
      <c r="C10" s="172"/>
      <c r="D10" s="577"/>
      <c r="E10" s="542"/>
    </row>
    <row r="11" spans="1:5" s="631" customFormat="1" ht="14.25" thickBot="1">
      <c r="A11" s="49"/>
      <c r="B11" s="205"/>
      <c r="C11" s="119"/>
      <c r="D11" s="136"/>
      <c r="E11" s="517"/>
    </row>
    <row r="12" spans="1:5" s="631" customFormat="1" ht="13.5">
      <c r="A12" s="52" t="s">
        <v>1365</v>
      </c>
      <c r="B12" s="13"/>
      <c r="C12" s="25"/>
      <c r="D12" s="25"/>
      <c r="E12" s="453"/>
    </row>
    <row r="13" spans="1:5" s="631" customFormat="1" ht="13.5">
      <c r="A13" s="52" t="s">
        <v>1120</v>
      </c>
      <c r="B13" s="13"/>
      <c r="C13" s="25"/>
      <c r="D13" s="25"/>
      <c r="E13" s="453"/>
    </row>
    <row r="14" spans="1:5" s="631" customFormat="1" ht="13.5">
      <c r="A14" s="52" t="s">
        <v>1421</v>
      </c>
      <c r="B14" s="13"/>
      <c r="C14" s="25"/>
      <c r="D14" s="25"/>
      <c r="E14" s="453"/>
    </row>
    <row r="15" spans="1:7" s="631" customFormat="1" ht="14.25" thickBot="1">
      <c r="A15" s="52" t="s">
        <v>16</v>
      </c>
      <c r="B15" s="13"/>
      <c r="C15" s="25"/>
      <c r="D15" s="25"/>
      <c r="E15" s="453"/>
      <c r="F15" s="327"/>
      <c r="G15" s="327"/>
    </row>
    <row r="16" spans="1:6" s="318" customFormat="1" ht="14.25" thickBot="1">
      <c r="A16" s="54" t="s">
        <v>17</v>
      </c>
      <c r="B16" s="192"/>
      <c r="C16" s="55"/>
      <c r="D16" s="191"/>
      <c r="E16" s="161">
        <f>(C18+C41+C61+C88+C96)</f>
        <v>16688881</v>
      </c>
      <c r="F16" s="731"/>
    </row>
    <row r="17" spans="1:5" s="318" customFormat="1" ht="14.25" thickBot="1">
      <c r="A17" s="12"/>
      <c r="B17" s="12"/>
      <c r="C17" s="33"/>
      <c r="D17" s="33"/>
      <c r="E17" s="33"/>
    </row>
    <row r="18" spans="1:6" s="9" customFormat="1" ht="12.75" customHeight="1" thickBot="1">
      <c r="A18" s="945" t="s">
        <v>1</v>
      </c>
      <c r="B18" s="946"/>
      <c r="C18" s="40">
        <f>C19+C26+C33</f>
        <v>14718691</v>
      </c>
      <c r="D18" s="33"/>
      <c r="E18" s="732"/>
      <c r="F18" s="280"/>
    </row>
    <row r="19" spans="1:6" s="9" customFormat="1" ht="12.75" customHeight="1">
      <c r="A19" s="12" t="s">
        <v>107</v>
      </c>
      <c r="B19" s="404" t="s">
        <v>108</v>
      </c>
      <c r="C19" s="33">
        <f>SUM(C20:C25)</f>
        <v>1251210</v>
      </c>
      <c r="D19" s="23"/>
      <c r="E19" s="26"/>
      <c r="F19" s="280"/>
    </row>
    <row r="20" spans="1:6" s="9" customFormat="1" ht="12.75" customHeight="1" hidden="1">
      <c r="A20" s="13" t="s">
        <v>27</v>
      </c>
      <c r="B20" s="25" t="s">
        <v>24</v>
      </c>
      <c r="C20" s="821">
        <f>744760+100500</f>
        <v>845260</v>
      </c>
      <c r="D20" s="23"/>
      <c r="E20" s="26"/>
      <c r="F20" s="280"/>
    </row>
    <row r="21" spans="1:6" s="9" customFormat="1" ht="12.75" customHeight="1" hidden="1">
      <c r="A21" s="13" t="s">
        <v>28</v>
      </c>
      <c r="B21" s="25" t="s">
        <v>26</v>
      </c>
      <c r="C21" s="821">
        <f>147912+33280+75000</f>
        <v>256192</v>
      </c>
      <c r="D21" s="23"/>
      <c r="E21" s="26"/>
      <c r="F21" s="280"/>
    </row>
    <row r="22" spans="1:6" s="9" customFormat="1" ht="12.75" customHeight="1" hidden="1">
      <c r="A22" s="13" t="s">
        <v>29</v>
      </c>
      <c r="B22" s="25" t="s">
        <v>86</v>
      </c>
      <c r="C22" s="821">
        <f>25000+31042+1100+5000</f>
        <v>62142</v>
      </c>
      <c r="D22" s="23"/>
      <c r="E22" s="26"/>
      <c r="F22" s="280"/>
    </row>
    <row r="23" spans="1:6" s="9" customFormat="1" ht="12.75" customHeight="1" hidden="1">
      <c r="A23" s="13" t="s">
        <v>30</v>
      </c>
      <c r="B23" s="25" t="s">
        <v>87</v>
      </c>
      <c r="C23" s="821">
        <v>1</v>
      </c>
      <c r="D23" s="23"/>
      <c r="E23" s="26"/>
      <c r="F23" s="280"/>
    </row>
    <row r="24" spans="1:6" s="9" customFormat="1" ht="12.75" customHeight="1" hidden="1">
      <c r="A24" s="13" t="s">
        <v>31</v>
      </c>
      <c r="B24" s="25" t="s">
        <v>25</v>
      </c>
      <c r="C24" s="821">
        <v>1</v>
      </c>
      <c r="D24" s="23"/>
      <c r="E24" s="26"/>
      <c r="F24" s="280"/>
    </row>
    <row r="25" spans="1:6" s="10" customFormat="1" ht="12.75" customHeight="1" hidden="1">
      <c r="A25" s="13" t="s">
        <v>32</v>
      </c>
      <c r="B25" s="25" t="s">
        <v>23</v>
      </c>
      <c r="C25" s="821">
        <f>67614+20000</f>
        <v>87614</v>
      </c>
      <c r="D25" s="23"/>
      <c r="E25" s="26"/>
      <c r="F25" s="281"/>
    </row>
    <row r="26" spans="1:6" s="10" customFormat="1" ht="12.75" customHeight="1">
      <c r="A26" s="12" t="s">
        <v>109</v>
      </c>
      <c r="B26" s="33" t="s">
        <v>110</v>
      </c>
      <c r="C26" s="33">
        <f>SUM(C27:C32)</f>
        <v>12310390</v>
      </c>
      <c r="D26" s="733"/>
      <c r="E26" s="184"/>
      <c r="F26" s="281"/>
    </row>
    <row r="27" spans="1:6" s="10" customFormat="1" ht="12.75" customHeight="1" hidden="1">
      <c r="A27" s="13" t="s">
        <v>34</v>
      </c>
      <c r="B27" s="25" t="s">
        <v>88</v>
      </c>
      <c r="C27" s="821">
        <v>9552070</v>
      </c>
      <c r="D27" s="733"/>
      <c r="E27" s="184"/>
      <c r="F27" s="281"/>
    </row>
    <row r="28" spans="1:6" s="10" customFormat="1" ht="12.75" customHeight="1" hidden="1">
      <c r="A28" s="13" t="s">
        <v>35</v>
      </c>
      <c r="B28" s="25" t="s">
        <v>89</v>
      </c>
      <c r="C28" s="821">
        <f>1910414+429843</f>
        <v>2340257</v>
      </c>
      <c r="D28" s="733"/>
      <c r="E28" s="184"/>
      <c r="F28" s="281"/>
    </row>
    <row r="29" spans="1:5" s="10" customFormat="1" ht="12.75" customHeight="1" hidden="1">
      <c r="A29" s="13" t="s">
        <v>36</v>
      </c>
      <c r="B29" s="25" t="s">
        <v>90</v>
      </c>
      <c r="C29" s="821">
        <f>397681+5776</f>
        <v>403457</v>
      </c>
      <c r="D29" s="733"/>
      <c r="E29" s="184"/>
    </row>
    <row r="30" spans="1:8" s="9" customFormat="1" ht="12.75" customHeight="1" hidden="1">
      <c r="A30" s="13" t="s">
        <v>37</v>
      </c>
      <c r="B30" s="25" t="s">
        <v>91</v>
      </c>
      <c r="C30" s="821">
        <v>1</v>
      </c>
      <c r="D30" s="733"/>
      <c r="E30" s="184"/>
      <c r="F30" s="57"/>
      <c r="G30" s="57"/>
      <c r="H30" s="57"/>
    </row>
    <row r="31" spans="1:6" s="9" customFormat="1" ht="12.75" customHeight="1" hidden="1">
      <c r="A31" s="13" t="s">
        <v>38</v>
      </c>
      <c r="B31" s="25" t="s">
        <v>370</v>
      </c>
      <c r="C31" s="821">
        <v>14604</v>
      </c>
      <c r="D31" s="23"/>
      <c r="E31" s="26"/>
      <c r="F31" s="280"/>
    </row>
    <row r="32" spans="1:6" s="10" customFormat="1" ht="12.75" customHeight="1" hidden="1">
      <c r="A32" s="13" t="s">
        <v>93</v>
      </c>
      <c r="B32" s="25" t="s">
        <v>92</v>
      </c>
      <c r="C32" s="821">
        <v>1</v>
      </c>
      <c r="D32" s="23"/>
      <c r="E32" s="26"/>
      <c r="F32" s="281"/>
    </row>
    <row r="33" spans="1:6" s="10" customFormat="1" ht="12.75" customHeight="1">
      <c r="A33" s="12" t="s">
        <v>111</v>
      </c>
      <c r="B33" s="33" t="s">
        <v>112</v>
      </c>
      <c r="C33" s="33">
        <f>SUM(C34:C39)</f>
        <v>1157091</v>
      </c>
      <c r="D33" s="23"/>
      <c r="E33" s="26"/>
      <c r="F33" s="281"/>
    </row>
    <row r="34" spans="1:5" s="10" customFormat="1" ht="12.75" customHeight="1" hidden="1">
      <c r="A34" s="13" t="s">
        <v>43</v>
      </c>
      <c r="B34" s="25" t="s">
        <v>39</v>
      </c>
      <c r="C34" s="821">
        <v>891365</v>
      </c>
      <c r="D34" s="137"/>
      <c r="E34" s="26"/>
    </row>
    <row r="35" spans="1:6" s="9" customFormat="1" ht="12.75" customHeight="1" hidden="1">
      <c r="A35" s="13" t="s">
        <v>44</v>
      </c>
      <c r="B35" s="25" t="s">
        <v>41</v>
      </c>
      <c r="C35" s="821">
        <f>178273+40112</f>
        <v>218385</v>
      </c>
      <c r="D35" s="137"/>
      <c r="E35" s="26"/>
      <c r="F35" s="280"/>
    </row>
    <row r="36" spans="1:6" s="9" customFormat="1" ht="12.75" customHeight="1" hidden="1">
      <c r="A36" s="13" t="s">
        <v>45</v>
      </c>
      <c r="B36" s="25" t="s">
        <v>94</v>
      </c>
      <c r="C36" s="821">
        <f>37156+1375</f>
        <v>38531</v>
      </c>
      <c r="D36" s="137"/>
      <c r="E36" s="26"/>
      <c r="F36" s="280"/>
    </row>
    <row r="37" spans="1:6" s="10" customFormat="1" ht="12.75" customHeight="1" hidden="1">
      <c r="A37" s="13" t="s">
        <v>46</v>
      </c>
      <c r="B37" s="25" t="s">
        <v>95</v>
      </c>
      <c r="C37" s="821">
        <v>1</v>
      </c>
      <c r="D37" s="23"/>
      <c r="E37" s="26"/>
      <c r="F37" s="281"/>
    </row>
    <row r="38" spans="1:6" s="10" customFormat="1" ht="12.75" customHeight="1" hidden="1">
      <c r="A38" s="13" t="s">
        <v>47</v>
      </c>
      <c r="B38" s="25" t="s">
        <v>40</v>
      </c>
      <c r="C38" s="821">
        <v>8808</v>
      </c>
      <c r="D38" s="23"/>
      <c r="E38" s="26"/>
      <c r="F38" s="281"/>
    </row>
    <row r="39" spans="1:5" s="100" customFormat="1" ht="13.5" hidden="1">
      <c r="A39" s="13" t="s">
        <v>48</v>
      </c>
      <c r="B39" s="25" t="s">
        <v>42</v>
      </c>
      <c r="C39" s="821">
        <v>1</v>
      </c>
      <c r="D39" s="23"/>
      <c r="E39" s="26"/>
    </row>
    <row r="40" spans="1:5" s="100" customFormat="1" ht="14.25" thickBot="1">
      <c r="A40" s="13"/>
      <c r="B40" s="107"/>
      <c r="C40" s="24"/>
      <c r="D40" s="22"/>
      <c r="E40" s="22"/>
    </row>
    <row r="41" spans="1:5" s="100" customFormat="1" ht="14.25" thickBot="1">
      <c r="A41" s="947" t="s">
        <v>2</v>
      </c>
      <c r="B41" s="989"/>
      <c r="C41" s="38">
        <f>C42+C44+C46+C49+C51+C56+C53</f>
        <v>362350</v>
      </c>
      <c r="D41" s="22"/>
      <c r="E41" s="22"/>
    </row>
    <row r="42" spans="1:7" s="57" customFormat="1" ht="13.5" customHeight="1">
      <c r="A42" s="12" t="s">
        <v>113</v>
      </c>
      <c r="B42" s="12" t="s">
        <v>114</v>
      </c>
      <c r="C42" s="34">
        <f>SUM(C43)</f>
        <v>76900</v>
      </c>
      <c r="D42" s="321"/>
      <c r="E42" s="321"/>
      <c r="F42" s="733"/>
      <c r="G42" s="71"/>
    </row>
    <row r="43" spans="1:7" s="57" customFormat="1" ht="13.5" customHeight="1" hidden="1">
      <c r="A43" s="13" t="s">
        <v>50</v>
      </c>
      <c r="B43" s="13" t="s">
        <v>49</v>
      </c>
      <c r="C43" s="821">
        <f>51900+25000</f>
        <v>76900</v>
      </c>
      <c r="D43" s="23"/>
      <c r="E43" s="33"/>
      <c r="F43" s="733"/>
      <c r="G43" s="71"/>
    </row>
    <row r="44" spans="1:7" s="57" customFormat="1" ht="13.5" customHeight="1">
      <c r="A44" s="353" t="s">
        <v>223</v>
      </c>
      <c r="B44" s="12" t="s">
        <v>272</v>
      </c>
      <c r="C44" s="33">
        <f>SUM(C45)</f>
        <v>12000</v>
      </c>
      <c r="D44" s="23"/>
      <c r="E44" s="33"/>
      <c r="F44" s="733"/>
      <c r="G44" s="71"/>
    </row>
    <row r="45" spans="1:7" s="57" customFormat="1" ht="13.5" customHeight="1" hidden="1">
      <c r="A45" s="107" t="s">
        <v>221</v>
      </c>
      <c r="B45" s="13" t="s">
        <v>220</v>
      </c>
      <c r="C45" s="821">
        <f>3500+5000+3500</f>
        <v>12000</v>
      </c>
      <c r="D45" s="23"/>
      <c r="E45" s="33"/>
      <c r="F45" s="733"/>
      <c r="G45" s="71"/>
    </row>
    <row r="46" spans="1:8" s="9" customFormat="1" ht="13.5" customHeight="1">
      <c r="A46" s="12" t="s">
        <v>115</v>
      </c>
      <c r="B46" s="12" t="s">
        <v>116</v>
      </c>
      <c r="C46" s="26">
        <f>SUM(C47:C48)</f>
        <v>50500</v>
      </c>
      <c r="D46" s="23"/>
      <c r="E46" s="33"/>
      <c r="F46" s="733"/>
      <c r="G46" s="71"/>
      <c r="H46" s="57"/>
    </row>
    <row r="47" spans="1:6" s="100" customFormat="1" ht="13.5" hidden="1">
      <c r="A47" s="13" t="s">
        <v>72</v>
      </c>
      <c r="B47" s="13" t="s">
        <v>73</v>
      </c>
      <c r="C47" s="821">
        <v>35500</v>
      </c>
      <c r="D47" s="115"/>
      <c r="E47" s="26"/>
      <c r="F47" s="733"/>
    </row>
    <row r="48" spans="1:8" s="9" customFormat="1" ht="13.5" customHeight="1" hidden="1">
      <c r="A48" s="13" t="s">
        <v>96</v>
      </c>
      <c r="B48" s="13" t="s">
        <v>71</v>
      </c>
      <c r="C48" s="821">
        <v>15000</v>
      </c>
      <c r="D48" s="23"/>
      <c r="E48" s="33"/>
      <c r="F48" s="140"/>
      <c r="G48" s="71"/>
      <c r="H48" s="57"/>
    </row>
    <row r="49" spans="1:8" s="9" customFormat="1" ht="13.5" customHeight="1">
      <c r="A49" s="12" t="s">
        <v>117</v>
      </c>
      <c r="B49" s="12" t="s">
        <v>118</v>
      </c>
      <c r="C49" s="33">
        <f>SUM(C50)</f>
        <v>98000</v>
      </c>
      <c r="D49" s="115"/>
      <c r="E49" s="26"/>
      <c r="F49" s="140"/>
      <c r="G49" s="71"/>
      <c r="H49" s="57"/>
    </row>
    <row r="50" spans="1:8" s="9" customFormat="1" ht="13.5" customHeight="1" hidden="1">
      <c r="A50" s="13" t="s">
        <v>51</v>
      </c>
      <c r="B50" s="25" t="s">
        <v>52</v>
      </c>
      <c r="C50" s="821">
        <f>88000+10000</f>
        <v>98000</v>
      </c>
      <c r="D50" s="22"/>
      <c r="E50" s="22"/>
      <c r="F50" s="286"/>
      <c r="G50" s="71"/>
      <c r="H50" s="109"/>
    </row>
    <row r="51" spans="1:5" s="100" customFormat="1" ht="13.5">
      <c r="A51" s="353" t="s">
        <v>129</v>
      </c>
      <c r="B51" s="12" t="s">
        <v>215</v>
      </c>
      <c r="C51" s="33">
        <f>SUM(C52)</f>
        <v>9000</v>
      </c>
      <c r="D51" s="22"/>
      <c r="E51" s="22"/>
    </row>
    <row r="52" spans="1:5" s="100" customFormat="1" ht="13.5" hidden="1">
      <c r="A52" s="107" t="s">
        <v>168</v>
      </c>
      <c r="B52" s="25" t="s">
        <v>551</v>
      </c>
      <c r="C52" s="821">
        <f>3500+5500</f>
        <v>9000</v>
      </c>
      <c r="D52" s="115"/>
      <c r="E52" s="26"/>
    </row>
    <row r="53" spans="1:10" s="9" customFormat="1" ht="13.5" customHeight="1">
      <c r="A53" s="353" t="s">
        <v>134</v>
      </c>
      <c r="B53" s="12" t="s">
        <v>133</v>
      </c>
      <c r="C53" s="26">
        <f>SUM(C54:C55)</f>
        <v>57500</v>
      </c>
      <c r="D53" s="22"/>
      <c r="E53" s="116"/>
      <c r="F53" s="140"/>
      <c r="G53" s="71"/>
      <c r="H53" s="57"/>
      <c r="J53" s="123"/>
    </row>
    <row r="54" spans="1:9" s="9" customFormat="1" ht="13.5" customHeight="1" hidden="1">
      <c r="A54" s="107" t="s">
        <v>277</v>
      </c>
      <c r="B54" s="25" t="s">
        <v>276</v>
      </c>
      <c r="C54" s="821">
        <f>6600+35000</f>
        <v>41600</v>
      </c>
      <c r="D54" s="22"/>
      <c r="E54" s="116"/>
      <c r="F54" s="140"/>
      <c r="G54" s="71"/>
      <c r="H54" s="57"/>
      <c r="I54" s="123"/>
    </row>
    <row r="55" spans="1:9" s="9" customFormat="1" ht="13.5" customHeight="1" hidden="1">
      <c r="A55" s="107" t="s">
        <v>103</v>
      </c>
      <c r="B55" s="25" t="s">
        <v>78</v>
      </c>
      <c r="C55" s="821">
        <f>5900+10000</f>
        <v>15900</v>
      </c>
      <c r="D55" s="22"/>
      <c r="E55" s="22"/>
      <c r="F55" s="140"/>
      <c r="G55" s="71"/>
      <c r="H55" s="57"/>
      <c r="I55" s="123"/>
    </row>
    <row r="56" spans="1:5" s="100" customFormat="1" ht="13.5">
      <c r="A56" s="353" t="s">
        <v>169</v>
      </c>
      <c r="B56" s="12" t="s">
        <v>135</v>
      </c>
      <c r="C56" s="26">
        <f>SUM(C57:C59)</f>
        <v>58450</v>
      </c>
      <c r="D56" s="115"/>
      <c r="E56" s="26"/>
    </row>
    <row r="57" spans="1:5" s="100" customFormat="1" ht="13.5" hidden="1">
      <c r="A57" s="107" t="s">
        <v>170</v>
      </c>
      <c r="B57" s="25" t="s">
        <v>70</v>
      </c>
      <c r="C57" s="821">
        <f>23450</f>
        <v>23450</v>
      </c>
      <c r="D57" s="115"/>
      <c r="E57" s="26"/>
    </row>
    <row r="58" spans="1:6" s="100" customFormat="1" ht="13.5" hidden="1">
      <c r="A58" s="107" t="s">
        <v>325</v>
      </c>
      <c r="B58" s="24" t="s">
        <v>326</v>
      </c>
      <c r="C58" s="821">
        <f>7500+5000</f>
        <v>12500</v>
      </c>
      <c r="D58" s="115"/>
      <c r="E58" s="26"/>
      <c r="F58" s="79"/>
    </row>
    <row r="59" spans="1:8" s="9" customFormat="1" ht="13.5" customHeight="1" hidden="1">
      <c r="A59" s="107" t="s">
        <v>173</v>
      </c>
      <c r="B59" s="25" t="s">
        <v>135</v>
      </c>
      <c r="C59" s="821">
        <f>14500+8000</f>
        <v>22500</v>
      </c>
      <c r="D59" s="22"/>
      <c r="E59" s="116"/>
      <c r="F59" s="280"/>
      <c r="G59" s="71"/>
      <c r="H59" s="71"/>
    </row>
    <row r="60" spans="1:8" s="9" customFormat="1" ht="13.5" customHeight="1" thickBot="1">
      <c r="A60" s="107"/>
      <c r="B60" s="25"/>
      <c r="C60" s="24"/>
      <c r="D60" s="22"/>
      <c r="E60" s="22"/>
      <c r="F60" s="140"/>
      <c r="G60" s="71"/>
      <c r="H60" s="57"/>
    </row>
    <row r="61" spans="1:6" s="78" customFormat="1" ht="14.25" thickBot="1">
      <c r="A61" s="949" t="s">
        <v>3</v>
      </c>
      <c r="B61" s="950"/>
      <c r="C61" s="36">
        <f>C62+C68+C70+C73+C75+C78+C82</f>
        <v>1217700</v>
      </c>
      <c r="D61" s="22"/>
      <c r="E61" s="22"/>
      <c r="F61" s="79"/>
    </row>
    <row r="62" spans="1:6" s="78" customFormat="1" ht="13.5">
      <c r="A62" s="353" t="s">
        <v>552</v>
      </c>
      <c r="B62" s="12" t="s">
        <v>553</v>
      </c>
      <c r="C62" s="34">
        <f>SUM(C63:C67)</f>
        <v>76600</v>
      </c>
      <c r="D62" s="321"/>
      <c r="E62" s="321"/>
      <c r="F62" s="79"/>
    </row>
    <row r="63" spans="1:6" s="78" customFormat="1" ht="13.5" hidden="1">
      <c r="A63" s="107" t="s">
        <v>554</v>
      </c>
      <c r="B63" s="13" t="s">
        <v>555</v>
      </c>
      <c r="C63" s="821">
        <v>7000</v>
      </c>
      <c r="D63" s="33"/>
      <c r="E63" s="172"/>
      <c r="F63" s="79"/>
    </row>
    <row r="64" spans="1:6" s="78" customFormat="1" ht="13.5" hidden="1">
      <c r="A64" s="107" t="s">
        <v>556</v>
      </c>
      <c r="B64" s="13" t="s">
        <v>557</v>
      </c>
      <c r="C64" s="821">
        <v>2000</v>
      </c>
      <c r="D64" s="115"/>
      <c r="E64" s="26"/>
      <c r="F64" s="79"/>
    </row>
    <row r="65" spans="1:6" s="78" customFormat="1" ht="13.5" hidden="1">
      <c r="A65" s="107" t="s">
        <v>558</v>
      </c>
      <c r="B65" s="13" t="s">
        <v>559</v>
      </c>
      <c r="C65" s="821">
        <f>2600+2000</f>
        <v>4600</v>
      </c>
      <c r="D65" s="115"/>
      <c r="E65" s="26"/>
      <c r="F65" s="79"/>
    </row>
    <row r="66" spans="1:6" s="78" customFormat="1" ht="13.5" hidden="1">
      <c r="A66" s="107" t="s">
        <v>621</v>
      </c>
      <c r="B66" s="13" t="s">
        <v>1111</v>
      </c>
      <c r="C66" s="821">
        <f>7000+1000</f>
        <v>8000</v>
      </c>
      <c r="D66" s="115"/>
      <c r="E66" s="26"/>
      <c r="F66" s="79"/>
    </row>
    <row r="67" spans="1:6" s="78" customFormat="1" ht="13.5" hidden="1">
      <c r="A67" s="107" t="s">
        <v>560</v>
      </c>
      <c r="B67" s="13" t="s">
        <v>561</v>
      </c>
      <c r="C67" s="821">
        <f>30000+10000+15000</f>
        <v>55000</v>
      </c>
      <c r="D67" s="115"/>
      <c r="E67" s="26"/>
      <c r="F67" s="79"/>
    </row>
    <row r="68" spans="1:6" s="78" customFormat="1" ht="13.5">
      <c r="A68" s="12" t="s">
        <v>120</v>
      </c>
      <c r="B68" s="12" t="s">
        <v>121</v>
      </c>
      <c r="C68" s="33">
        <f>SUM(C69)</f>
        <v>35000</v>
      </c>
      <c r="D68" s="115"/>
      <c r="E68" s="26"/>
      <c r="F68" s="79"/>
    </row>
    <row r="69" spans="1:6" s="78" customFormat="1" ht="13.5" hidden="1">
      <c r="A69" s="13" t="s">
        <v>57</v>
      </c>
      <c r="B69" s="13" t="s">
        <v>18</v>
      </c>
      <c r="C69" s="821">
        <v>35000</v>
      </c>
      <c r="D69" s="116"/>
      <c r="E69" s="26"/>
      <c r="F69" s="79"/>
    </row>
    <row r="70" spans="1:6" s="78" customFormat="1" ht="13.5">
      <c r="A70" s="12" t="s">
        <v>130</v>
      </c>
      <c r="B70" s="12" t="s">
        <v>131</v>
      </c>
      <c r="C70" s="33">
        <f>SUM(C71:C72)</f>
        <v>49000</v>
      </c>
      <c r="D70" s="33"/>
      <c r="E70" s="172"/>
      <c r="F70" s="79"/>
    </row>
    <row r="71" spans="1:6" s="78" customFormat="1" ht="13.5" hidden="1">
      <c r="A71" s="13" t="s">
        <v>153</v>
      </c>
      <c r="B71" s="13" t="s">
        <v>154</v>
      </c>
      <c r="C71" s="821">
        <f>20500+15000</f>
        <v>35500</v>
      </c>
      <c r="D71" s="33"/>
      <c r="E71" s="172"/>
      <c r="F71" s="79"/>
    </row>
    <row r="72" spans="1:6" s="100" customFormat="1" ht="13.5" hidden="1">
      <c r="A72" s="13" t="s">
        <v>148</v>
      </c>
      <c r="B72" s="13" t="s">
        <v>77</v>
      </c>
      <c r="C72" s="821">
        <f>8500+5000</f>
        <v>13500</v>
      </c>
      <c r="D72" s="33"/>
      <c r="E72" s="172"/>
      <c r="F72" s="79"/>
    </row>
    <row r="73" spans="1:5" s="100" customFormat="1" ht="13.5">
      <c r="A73" s="12" t="s">
        <v>398</v>
      </c>
      <c r="B73" s="12" t="s">
        <v>1121</v>
      </c>
      <c r="C73" s="33">
        <f>SUM(C74)</f>
        <v>27800</v>
      </c>
      <c r="D73" s="33"/>
      <c r="E73" s="172"/>
    </row>
    <row r="74" spans="1:5" s="100" customFormat="1" ht="13.5" hidden="1">
      <c r="A74" s="13" t="s">
        <v>400</v>
      </c>
      <c r="B74" s="13" t="s">
        <v>401</v>
      </c>
      <c r="C74" s="821">
        <f>7800+20000</f>
        <v>27800</v>
      </c>
      <c r="D74" s="33"/>
      <c r="E74" s="172"/>
    </row>
    <row r="75" spans="1:5" s="100" customFormat="1" ht="13.5">
      <c r="A75" s="353" t="s">
        <v>122</v>
      </c>
      <c r="B75" s="12" t="s">
        <v>175</v>
      </c>
      <c r="C75" s="33">
        <f>SUM(C76:C77)</f>
        <v>562400</v>
      </c>
      <c r="D75" s="33"/>
      <c r="E75" s="172"/>
    </row>
    <row r="76" spans="1:8" s="9" customFormat="1" ht="13.5" hidden="1">
      <c r="A76" s="107" t="s">
        <v>150</v>
      </c>
      <c r="B76" s="13" t="s">
        <v>302</v>
      </c>
      <c r="C76" s="821">
        <v>6600</v>
      </c>
      <c r="D76" s="25"/>
      <c r="E76" s="172"/>
      <c r="F76" s="140"/>
      <c r="G76" s="71"/>
      <c r="H76" s="57"/>
    </row>
    <row r="77" spans="1:6" s="9" customFormat="1" ht="13.5" hidden="1">
      <c r="A77" s="107" t="s">
        <v>53</v>
      </c>
      <c r="B77" s="13" t="s">
        <v>97</v>
      </c>
      <c r="C77" s="821">
        <f>404100+151700</f>
        <v>555800</v>
      </c>
      <c r="D77" s="25" t="s">
        <v>1409</v>
      </c>
      <c r="E77" s="172"/>
      <c r="F77" s="280"/>
    </row>
    <row r="78" spans="1:8" s="9" customFormat="1" ht="13.5">
      <c r="A78" s="353" t="s">
        <v>123</v>
      </c>
      <c r="B78" s="12" t="s">
        <v>124</v>
      </c>
      <c r="C78" s="33">
        <f>SUM(C79:C81)</f>
        <v>24000</v>
      </c>
      <c r="D78" s="25"/>
      <c r="E78" s="172"/>
      <c r="F78" s="140"/>
      <c r="G78" s="71"/>
      <c r="H78" s="57"/>
    </row>
    <row r="79" spans="1:8" s="9" customFormat="1" ht="13.5" customHeight="1" hidden="1">
      <c r="A79" s="107" t="s">
        <v>184</v>
      </c>
      <c r="B79" s="13" t="s">
        <v>83</v>
      </c>
      <c r="C79" s="821">
        <f>8500+2000</f>
        <v>10500</v>
      </c>
      <c r="D79" s="25"/>
      <c r="E79" s="172"/>
      <c r="F79" s="57"/>
      <c r="G79" s="108"/>
      <c r="H79" s="57"/>
    </row>
    <row r="80" spans="1:8" s="9" customFormat="1" ht="13.5" customHeight="1" hidden="1">
      <c r="A80" s="107" t="s">
        <v>84</v>
      </c>
      <c r="B80" s="13" t="s">
        <v>79</v>
      </c>
      <c r="C80" s="821">
        <v>5000</v>
      </c>
      <c r="D80" s="25"/>
      <c r="E80" s="172"/>
      <c r="F80" s="57"/>
      <c r="G80" s="108"/>
      <c r="H80" s="57"/>
    </row>
    <row r="81" spans="1:8" s="9" customFormat="1" ht="13.5" customHeight="1" hidden="1">
      <c r="A81" s="107" t="s">
        <v>98</v>
      </c>
      <c r="B81" s="25" t="s">
        <v>69</v>
      </c>
      <c r="C81" s="821">
        <v>8500</v>
      </c>
      <c r="D81" s="25"/>
      <c r="E81" s="172"/>
      <c r="F81" s="57"/>
      <c r="G81" s="108"/>
      <c r="H81" s="57"/>
    </row>
    <row r="82" spans="1:8" s="9" customFormat="1" ht="13.5" customHeight="1">
      <c r="A82" s="353" t="s">
        <v>125</v>
      </c>
      <c r="B82" s="33" t="s">
        <v>8</v>
      </c>
      <c r="C82" s="33">
        <f>SUM(C83:C86)</f>
        <v>442900</v>
      </c>
      <c r="D82" s="26"/>
      <c r="E82" s="46"/>
      <c r="F82" s="140"/>
      <c r="G82" s="71"/>
      <c r="H82" s="57"/>
    </row>
    <row r="83" spans="1:8" s="9" customFormat="1" ht="13.5" customHeight="1" hidden="1">
      <c r="A83" s="107" t="s">
        <v>99</v>
      </c>
      <c r="B83" s="25" t="s">
        <v>8</v>
      </c>
      <c r="C83" s="821">
        <f>98400+20000+97000+100000</f>
        <v>315400</v>
      </c>
      <c r="D83" s="22" t="s">
        <v>1410</v>
      </c>
      <c r="E83" s="22"/>
      <c r="F83" s="140"/>
      <c r="G83" s="71"/>
      <c r="H83" s="57"/>
    </row>
    <row r="84" spans="1:5" s="100" customFormat="1" ht="13.5" hidden="1">
      <c r="A84" s="107" t="s">
        <v>358</v>
      </c>
      <c r="B84" s="13" t="s">
        <v>359</v>
      </c>
      <c r="C84" s="821">
        <f>42000+10000</f>
        <v>52000</v>
      </c>
      <c r="D84" s="25"/>
      <c r="E84" s="172"/>
    </row>
    <row r="85" spans="1:5" ht="13.5" hidden="1">
      <c r="A85" s="107" t="s">
        <v>205</v>
      </c>
      <c r="B85" s="25" t="s">
        <v>54</v>
      </c>
      <c r="C85" s="821">
        <f>45000+15000</f>
        <v>60000</v>
      </c>
      <c r="D85" s="172"/>
      <c r="E85" s="172"/>
    </row>
    <row r="86" spans="1:5" ht="13.5" hidden="1">
      <c r="A86" s="107" t="s">
        <v>100</v>
      </c>
      <c r="B86" s="25" t="s">
        <v>7</v>
      </c>
      <c r="C86" s="821">
        <f>10500+5000</f>
        <v>15500</v>
      </c>
      <c r="D86" s="33"/>
      <c r="E86" s="172"/>
    </row>
    <row r="87" spans="1:5" ht="14.25" thickBot="1">
      <c r="A87" s="107"/>
      <c r="B87" s="25"/>
      <c r="C87" s="24"/>
      <c r="D87" s="22"/>
      <c r="E87" s="22"/>
    </row>
    <row r="88" spans="1:5" ht="14.25" thickBot="1">
      <c r="A88" s="953" t="s">
        <v>5</v>
      </c>
      <c r="B88" s="954"/>
      <c r="C88" s="37">
        <f>C89+C91</f>
        <v>255000</v>
      </c>
      <c r="D88" s="22"/>
      <c r="E88" s="22"/>
    </row>
    <row r="89" spans="1:5" ht="13.5">
      <c r="A89" s="353" t="s">
        <v>137</v>
      </c>
      <c r="B89" s="12" t="s">
        <v>138</v>
      </c>
      <c r="C89" s="34">
        <f>SUM(C90)</f>
        <v>55000</v>
      </c>
      <c r="D89" s="321"/>
      <c r="E89" s="321"/>
    </row>
    <row r="90" spans="1:5" ht="13.5" hidden="1">
      <c r="A90" s="107" t="s">
        <v>1161</v>
      </c>
      <c r="B90" s="57" t="s">
        <v>1162</v>
      </c>
      <c r="C90" s="821">
        <v>55000</v>
      </c>
      <c r="D90" s="115"/>
      <c r="E90" s="26"/>
    </row>
    <row r="91" spans="1:5" ht="13.5">
      <c r="A91" s="353" t="s">
        <v>139</v>
      </c>
      <c r="B91" s="12" t="s">
        <v>140</v>
      </c>
      <c r="C91" s="34">
        <f>SUM(C92:C94)</f>
        <v>200000</v>
      </c>
      <c r="D91" s="321"/>
      <c r="E91" s="321"/>
    </row>
    <row r="92" spans="1:5" ht="13.5" hidden="1">
      <c r="A92" s="107" t="s">
        <v>303</v>
      </c>
      <c r="B92" s="13" t="s">
        <v>1122</v>
      </c>
      <c r="C92" s="821">
        <v>55000</v>
      </c>
      <c r="D92" s="115"/>
      <c r="E92" s="26"/>
    </row>
    <row r="93" spans="1:5" ht="13.5" hidden="1">
      <c r="A93" s="107" t="s">
        <v>363</v>
      </c>
      <c r="B93" s="24" t="s">
        <v>364</v>
      </c>
      <c r="C93" s="821">
        <f>30000+70000</f>
        <v>100000</v>
      </c>
      <c r="D93" s="115"/>
      <c r="E93" s="26"/>
    </row>
    <row r="94" spans="1:5" ht="13.5" hidden="1">
      <c r="A94" s="107" t="s">
        <v>157</v>
      </c>
      <c r="B94" s="25" t="s">
        <v>12</v>
      </c>
      <c r="C94" s="821">
        <f>15000+30000</f>
        <v>45000</v>
      </c>
      <c r="D94" s="115"/>
      <c r="E94" s="26"/>
    </row>
    <row r="95" spans="1:5" ht="14.25" thickBot="1">
      <c r="A95" s="107"/>
      <c r="B95" s="24"/>
      <c r="C95" s="25"/>
      <c r="D95" s="115"/>
      <c r="E95" s="26"/>
    </row>
    <row r="96" spans="1:5" ht="14.25" thickBot="1">
      <c r="A96" s="951" t="s">
        <v>4</v>
      </c>
      <c r="B96" s="952"/>
      <c r="C96" s="32">
        <f>C97+C99+C102+C104+C106</f>
        <v>135140</v>
      </c>
      <c r="D96" s="22"/>
      <c r="E96" s="22"/>
    </row>
    <row r="97" spans="1:7" ht="13.5">
      <c r="A97" s="353" t="s">
        <v>201</v>
      </c>
      <c r="B97" s="12" t="s">
        <v>200</v>
      </c>
      <c r="C97" s="34">
        <f>SUM(C98)</f>
        <v>32400</v>
      </c>
      <c r="D97" s="321"/>
      <c r="E97" s="321"/>
      <c r="F97" s="94"/>
      <c r="G97" s="94"/>
    </row>
    <row r="98" spans="1:5" ht="13.5" hidden="1">
      <c r="A98" s="107" t="s">
        <v>199</v>
      </c>
      <c r="B98" s="24" t="s">
        <v>611</v>
      </c>
      <c r="C98" s="821">
        <f>15400+2000+15000</f>
        <v>32400</v>
      </c>
      <c r="D98" s="115"/>
      <c r="E98" s="26"/>
    </row>
    <row r="99" spans="1:5" ht="13.5">
      <c r="A99" s="353" t="s">
        <v>126</v>
      </c>
      <c r="B99" s="12" t="s">
        <v>127</v>
      </c>
      <c r="C99" s="26">
        <f>SUM(C100:C101)</f>
        <v>49740</v>
      </c>
      <c r="D99" s="115"/>
      <c r="E99" s="26"/>
    </row>
    <row r="100" spans="1:7" s="57" customFormat="1" ht="13.5" customHeight="1" hidden="1">
      <c r="A100" s="107" t="s">
        <v>101</v>
      </c>
      <c r="B100" s="25" t="s">
        <v>9</v>
      </c>
      <c r="C100" s="821">
        <f>14500+4240+2500+16000</f>
        <v>37240</v>
      </c>
      <c r="D100" s="115"/>
      <c r="E100" s="26"/>
      <c r="G100" s="71"/>
    </row>
    <row r="101" spans="1:8" s="9" customFormat="1" ht="13.5" customHeight="1" hidden="1">
      <c r="A101" s="107" t="s">
        <v>62</v>
      </c>
      <c r="B101" s="24" t="s">
        <v>63</v>
      </c>
      <c r="C101" s="821">
        <f>6000+6500</f>
        <v>12500</v>
      </c>
      <c r="D101" s="115"/>
      <c r="E101" s="26"/>
      <c r="F101" s="140"/>
      <c r="G101" s="71"/>
      <c r="H101" s="57"/>
    </row>
    <row r="102" spans="1:7" s="57" customFormat="1" ht="13.5" customHeight="1">
      <c r="A102" s="353" t="s">
        <v>1123</v>
      </c>
      <c r="B102" s="26" t="s">
        <v>371</v>
      </c>
      <c r="C102" s="26">
        <f>SUM(C103)</f>
        <v>46000</v>
      </c>
      <c r="D102" s="115"/>
      <c r="E102" s="26"/>
      <c r="G102" s="71"/>
    </row>
    <row r="103" spans="1:8" s="9" customFormat="1" ht="13.5" customHeight="1" hidden="1">
      <c r="A103" s="107" t="s">
        <v>185</v>
      </c>
      <c r="B103" s="24" t="s">
        <v>371</v>
      </c>
      <c r="C103" s="821">
        <f>21000+25000</f>
        <v>46000</v>
      </c>
      <c r="D103" s="115"/>
      <c r="E103" s="26"/>
      <c r="F103" s="140"/>
      <c r="G103" s="71"/>
      <c r="H103" s="57"/>
    </row>
    <row r="104" spans="1:8" s="9" customFormat="1" ht="13.5" customHeight="1">
      <c r="A104" s="353" t="s">
        <v>128</v>
      </c>
      <c r="B104" s="12" t="s">
        <v>141</v>
      </c>
      <c r="C104" s="26">
        <f>SUM(C105:C105)</f>
        <v>2000</v>
      </c>
      <c r="D104" s="115"/>
      <c r="E104" s="26"/>
      <c r="F104" s="140"/>
      <c r="G104" s="71"/>
      <c r="H104" s="57"/>
    </row>
    <row r="105" spans="1:6" s="100" customFormat="1" ht="13.5" hidden="1">
      <c r="A105" s="107" t="s">
        <v>186</v>
      </c>
      <c r="B105" s="24" t="s">
        <v>76</v>
      </c>
      <c r="C105" s="821">
        <v>2000</v>
      </c>
      <c r="D105" s="115"/>
      <c r="E105" s="26"/>
      <c r="F105" s="79"/>
    </row>
    <row r="106" spans="1:8" s="9" customFormat="1" ht="13.5" customHeight="1">
      <c r="A106" s="353" t="s">
        <v>188</v>
      </c>
      <c r="B106" s="12" t="s">
        <v>146</v>
      </c>
      <c r="C106" s="26">
        <f>SUM(C107)</f>
        <v>5000</v>
      </c>
      <c r="D106" s="115"/>
      <c r="E106" s="26"/>
      <c r="F106" s="286"/>
      <c r="G106" s="71"/>
      <c r="H106" s="109"/>
    </row>
    <row r="107" spans="1:5" s="100" customFormat="1" ht="13.5" hidden="1">
      <c r="A107" s="107" t="s">
        <v>189</v>
      </c>
      <c r="B107" s="25" t="s">
        <v>56</v>
      </c>
      <c r="C107" s="821">
        <f>3000+2000</f>
        <v>5000</v>
      </c>
      <c r="D107" s="115"/>
      <c r="E107" s="26"/>
    </row>
    <row r="108" spans="1:6" s="78" customFormat="1" ht="13.5">
      <c r="A108" s="107"/>
      <c r="B108" s="107"/>
      <c r="C108" s="24"/>
      <c r="D108" s="22"/>
      <c r="E108" s="22"/>
      <c r="F108" s="79"/>
    </row>
    <row r="109" spans="1:6" s="78" customFormat="1" ht="14.25" thickBot="1">
      <c r="A109" s="107"/>
      <c r="B109" s="107"/>
      <c r="C109" s="24"/>
      <c r="D109" s="19"/>
      <c r="E109" s="19"/>
      <c r="F109" s="79"/>
    </row>
    <row r="110" spans="1:6" s="78" customFormat="1" ht="12.75">
      <c r="A110" s="64" t="s">
        <v>1124</v>
      </c>
      <c r="B110" s="221"/>
      <c r="C110" s="65"/>
      <c r="D110" s="67" t="s">
        <v>6</v>
      </c>
      <c r="E110" s="516" t="s">
        <v>1125</v>
      </c>
      <c r="F110" s="79"/>
    </row>
    <row r="111" spans="1:6" s="78" customFormat="1" ht="13.5" thickBot="1">
      <c r="A111" s="49"/>
      <c r="B111" s="205"/>
      <c r="C111" s="119"/>
      <c r="D111" s="121"/>
      <c r="E111" s="517"/>
      <c r="F111" s="79"/>
    </row>
    <row r="112" spans="1:6" s="78" customFormat="1" ht="12.75">
      <c r="A112" s="45" t="s">
        <v>1126</v>
      </c>
      <c r="B112" s="208"/>
      <c r="C112" s="172"/>
      <c r="D112" s="172"/>
      <c r="E112" s="450"/>
      <c r="F112" s="79"/>
    </row>
    <row r="113" spans="1:6" s="78" customFormat="1" ht="12.75">
      <c r="A113" s="45" t="s">
        <v>1127</v>
      </c>
      <c r="B113" s="208"/>
      <c r="C113" s="172"/>
      <c r="D113" s="172"/>
      <c r="E113" s="450"/>
      <c r="F113" s="79"/>
    </row>
    <row r="114" spans="1:6" s="78" customFormat="1" ht="12.75">
      <c r="A114" s="45" t="s">
        <v>1128</v>
      </c>
      <c r="B114" s="208"/>
      <c r="C114" s="172"/>
      <c r="D114" s="172"/>
      <c r="E114" s="450"/>
      <c r="F114" s="79"/>
    </row>
    <row r="115" spans="1:6" s="100" customFormat="1" ht="13.5" thickBot="1">
      <c r="A115" s="49" t="s">
        <v>1129</v>
      </c>
      <c r="B115" s="205"/>
      <c r="C115" s="119"/>
      <c r="D115" s="119"/>
      <c r="E115" s="452"/>
      <c r="F115" s="79"/>
    </row>
    <row r="116" spans="1:5" s="100" customFormat="1" ht="13.5">
      <c r="A116" s="52" t="s">
        <v>1365</v>
      </c>
      <c r="B116" s="13"/>
      <c r="C116" s="25"/>
      <c r="D116" s="25"/>
      <c r="E116" s="453"/>
    </row>
    <row r="117" spans="1:5" s="100" customFormat="1" ht="13.5">
      <c r="A117" s="52" t="s">
        <v>1120</v>
      </c>
      <c r="B117" s="13"/>
      <c r="C117" s="25"/>
      <c r="D117" s="25"/>
      <c r="E117" s="453"/>
    </row>
    <row r="118" spans="1:8" s="9" customFormat="1" ht="13.5" customHeight="1">
      <c r="A118" s="52" t="s">
        <v>1421</v>
      </c>
      <c r="B118" s="13"/>
      <c r="C118" s="25"/>
      <c r="D118" s="25"/>
      <c r="E118" s="453"/>
      <c r="F118" s="57"/>
      <c r="G118" s="108"/>
      <c r="H118" s="57"/>
    </row>
    <row r="119" spans="1:5" s="100" customFormat="1" ht="14.25" thickBot="1">
      <c r="A119" s="52" t="s">
        <v>16</v>
      </c>
      <c r="B119" s="13"/>
      <c r="C119" s="25"/>
      <c r="D119" s="25"/>
      <c r="E119" s="453"/>
    </row>
    <row r="120" spans="1:6" ht="14.25" thickBot="1">
      <c r="A120" s="54" t="s">
        <v>17</v>
      </c>
      <c r="B120" s="192"/>
      <c r="C120" s="55"/>
      <c r="D120" s="191"/>
      <c r="E120" s="161">
        <f>C122+C136+C154</f>
        <v>583450</v>
      </c>
      <c r="F120" s="94"/>
    </row>
    <row r="121" spans="1:5" ht="14.25" thickBot="1">
      <c r="A121" s="12"/>
      <c r="B121" s="12"/>
      <c r="C121" s="33"/>
      <c r="D121" s="33"/>
      <c r="E121" s="33"/>
    </row>
    <row r="122" spans="1:5" ht="14.25" thickBot="1">
      <c r="A122" s="947" t="s">
        <v>2</v>
      </c>
      <c r="B122" s="948"/>
      <c r="C122" s="38">
        <f>C123+C125+C127+C130+C132</f>
        <v>214650</v>
      </c>
      <c r="D122" s="19"/>
      <c r="E122" s="734"/>
    </row>
    <row r="123" spans="1:5" s="104" customFormat="1" ht="13.5">
      <c r="A123" s="12" t="s">
        <v>113</v>
      </c>
      <c r="B123" s="817" t="s">
        <v>114</v>
      </c>
      <c r="C123" s="34">
        <f>SUM(C124)</f>
        <v>20000</v>
      </c>
      <c r="D123" s="15"/>
      <c r="E123" s="756"/>
    </row>
    <row r="124" spans="1:5" s="104" customFormat="1" ht="13.5" hidden="1">
      <c r="A124" s="107" t="s">
        <v>461</v>
      </c>
      <c r="B124" s="13" t="s">
        <v>462</v>
      </c>
      <c r="C124" s="821">
        <f>7000+5000+5000+3000</f>
        <v>20000</v>
      </c>
      <c r="D124" s="15"/>
      <c r="E124" s="756"/>
    </row>
    <row r="125" spans="1:7" s="57" customFormat="1" ht="13.5" customHeight="1">
      <c r="A125" s="353" t="s">
        <v>223</v>
      </c>
      <c r="B125" s="12" t="s">
        <v>272</v>
      </c>
      <c r="C125" s="33">
        <f>SUM(C126)</f>
        <v>15500</v>
      </c>
      <c r="D125" s="23"/>
      <c r="E125" s="33"/>
      <c r="F125" s="733"/>
      <c r="G125" s="71"/>
    </row>
    <row r="126" spans="1:7" s="57" customFormat="1" ht="13.5" customHeight="1" hidden="1">
      <c r="A126" s="107" t="s">
        <v>271</v>
      </c>
      <c r="B126" s="105" t="s">
        <v>270</v>
      </c>
      <c r="C126" s="821">
        <f>7500+5000+3000</f>
        <v>15500</v>
      </c>
      <c r="D126" s="23" t="s">
        <v>1376</v>
      </c>
      <c r="E126" s="33"/>
      <c r="F126" s="733"/>
      <c r="G126" s="71"/>
    </row>
    <row r="127" spans="1:5" ht="13.5">
      <c r="A127" s="12" t="s">
        <v>115</v>
      </c>
      <c r="B127" s="12" t="s">
        <v>116</v>
      </c>
      <c r="C127" s="34">
        <f>SUM(C128:C129)</f>
        <v>93350</v>
      </c>
      <c r="D127" s="16"/>
      <c r="E127" s="735"/>
    </row>
    <row r="128" spans="1:5" ht="13.5" hidden="1">
      <c r="A128" s="13" t="s">
        <v>72</v>
      </c>
      <c r="B128" s="13" t="s">
        <v>73</v>
      </c>
      <c r="C128" s="821">
        <f>43000+5000</f>
        <v>48000</v>
      </c>
      <c r="D128" s="23"/>
      <c r="E128" s="33"/>
    </row>
    <row r="129" spans="1:5" ht="13.5" hidden="1">
      <c r="A129" s="13" t="s">
        <v>96</v>
      </c>
      <c r="B129" s="13" t="s">
        <v>71</v>
      </c>
      <c r="C129" s="821">
        <f>45350</f>
        <v>45350</v>
      </c>
      <c r="D129" s="23"/>
      <c r="E129" s="33"/>
    </row>
    <row r="130" spans="1:5" ht="13.5">
      <c r="A130" s="12" t="s">
        <v>117</v>
      </c>
      <c r="B130" s="12" t="s">
        <v>118</v>
      </c>
      <c r="C130" s="33">
        <f>SUM(C131)</f>
        <v>20500</v>
      </c>
      <c r="D130" s="23"/>
      <c r="E130" s="33"/>
    </row>
    <row r="131" spans="1:7" ht="13.5" hidden="1">
      <c r="A131" s="13" t="s">
        <v>51</v>
      </c>
      <c r="B131" s="25" t="s">
        <v>52</v>
      </c>
      <c r="C131" s="821">
        <f>10500+10000</f>
        <v>20500</v>
      </c>
      <c r="D131" s="115"/>
      <c r="E131" s="26"/>
      <c r="F131" s="94"/>
      <c r="G131" s="94"/>
    </row>
    <row r="132" spans="1:5" ht="13.5">
      <c r="A132" s="353" t="s">
        <v>1130</v>
      </c>
      <c r="B132" s="33" t="s">
        <v>135</v>
      </c>
      <c r="C132" s="26">
        <f>SUM(C133:C134)</f>
        <v>65300</v>
      </c>
      <c r="D132" s="25"/>
      <c r="E132" s="172"/>
    </row>
    <row r="133" spans="1:5" ht="13.5" hidden="1">
      <c r="A133" s="107" t="s">
        <v>171</v>
      </c>
      <c r="B133" s="25" t="s">
        <v>75</v>
      </c>
      <c r="C133" s="821">
        <f>46800+10000</f>
        <v>56800</v>
      </c>
      <c r="D133" s="115"/>
      <c r="E133" s="26"/>
    </row>
    <row r="134" spans="1:8" s="9" customFormat="1" ht="13.5" customHeight="1" hidden="1">
      <c r="A134" s="107" t="s">
        <v>173</v>
      </c>
      <c r="B134" s="25" t="s">
        <v>135</v>
      </c>
      <c r="C134" s="821">
        <f>6000+2500</f>
        <v>8500</v>
      </c>
      <c r="D134" s="115"/>
      <c r="E134" s="26"/>
      <c r="F134" s="140"/>
      <c r="G134" s="71"/>
      <c r="H134" s="57"/>
    </row>
    <row r="135" spans="1:5" s="100" customFormat="1" ht="14.25" thickBot="1">
      <c r="A135" s="107"/>
      <c r="B135" s="25"/>
      <c r="C135" s="24"/>
      <c r="D135" s="115"/>
      <c r="E135" s="26"/>
    </row>
    <row r="136" spans="1:8" s="9" customFormat="1" ht="13.5" customHeight="1" thickBot="1">
      <c r="A136" s="949" t="s">
        <v>3</v>
      </c>
      <c r="B136" s="950"/>
      <c r="C136" s="36">
        <f>C137+C140+C144+C147</f>
        <v>333300</v>
      </c>
      <c r="D136" s="22"/>
      <c r="E136" s="22"/>
      <c r="F136" s="286"/>
      <c r="G136" s="71"/>
      <c r="H136" s="109"/>
    </row>
    <row r="137" spans="1:5" s="100" customFormat="1" ht="13.5">
      <c r="A137" s="353" t="s">
        <v>122</v>
      </c>
      <c r="B137" s="12" t="s">
        <v>175</v>
      </c>
      <c r="C137" s="34">
        <f>SUM(C138:C139)</f>
        <v>54500</v>
      </c>
      <c r="D137" s="321"/>
      <c r="E137" s="321"/>
    </row>
    <row r="138" spans="1:6" s="78" customFormat="1" ht="13.5" hidden="1">
      <c r="A138" s="107" t="s">
        <v>150</v>
      </c>
      <c r="B138" s="13" t="s">
        <v>302</v>
      </c>
      <c r="C138" s="821">
        <f>5500+3000</f>
        <v>8500</v>
      </c>
      <c r="D138" s="33"/>
      <c r="E138" s="172"/>
      <c r="F138" s="79"/>
    </row>
    <row r="139" spans="1:6" s="78" customFormat="1" ht="13.5" hidden="1">
      <c r="A139" s="107" t="s">
        <v>53</v>
      </c>
      <c r="B139" s="13" t="s">
        <v>97</v>
      </c>
      <c r="C139" s="821">
        <f>10500+15500+20000</f>
        <v>46000</v>
      </c>
      <c r="D139" s="25"/>
      <c r="E139" s="172"/>
      <c r="F139" s="79"/>
    </row>
    <row r="140" spans="1:6" s="100" customFormat="1" ht="13.5">
      <c r="A140" s="353" t="s">
        <v>123</v>
      </c>
      <c r="B140" s="12" t="s">
        <v>124</v>
      </c>
      <c r="C140" s="33">
        <f>SUM(C141:C143)</f>
        <v>29800</v>
      </c>
      <c r="D140" s="25"/>
      <c r="E140" s="172"/>
      <c r="F140" s="79"/>
    </row>
    <row r="141" spans="1:5" s="100" customFormat="1" ht="13.5" hidden="1">
      <c r="A141" s="107" t="s">
        <v>58</v>
      </c>
      <c r="B141" s="13" t="s">
        <v>59</v>
      </c>
      <c r="C141" s="821">
        <v>16800</v>
      </c>
      <c r="D141" s="25"/>
      <c r="E141" s="172"/>
    </row>
    <row r="142" spans="1:5" s="100" customFormat="1" ht="13.5" hidden="1">
      <c r="A142" s="107" t="s">
        <v>84</v>
      </c>
      <c r="B142" s="13" t="s">
        <v>79</v>
      </c>
      <c r="C142" s="821">
        <v>4500</v>
      </c>
      <c r="D142" s="25"/>
      <c r="E142" s="172"/>
    </row>
    <row r="143" spans="1:8" s="9" customFormat="1" ht="13.5" customHeight="1" hidden="1">
      <c r="A143" s="107" t="s">
        <v>98</v>
      </c>
      <c r="B143" s="25" t="s">
        <v>69</v>
      </c>
      <c r="C143" s="821">
        <f>4000+4500</f>
        <v>8500</v>
      </c>
      <c r="D143" s="25"/>
      <c r="E143" s="172"/>
      <c r="F143" s="57"/>
      <c r="G143" s="108"/>
      <c r="H143" s="57"/>
    </row>
    <row r="144" spans="1:8" s="9" customFormat="1" ht="13.5" customHeight="1">
      <c r="A144" s="353" t="s">
        <v>143</v>
      </c>
      <c r="B144" s="12" t="s">
        <v>61</v>
      </c>
      <c r="C144" s="33">
        <f>SUM(C145:C146)</f>
        <v>152000</v>
      </c>
      <c r="D144" s="25"/>
      <c r="E144" s="172"/>
      <c r="F144" s="57"/>
      <c r="G144" s="108"/>
      <c r="H144" s="57"/>
    </row>
    <row r="145" spans="1:8" s="9" customFormat="1" ht="13.5" customHeight="1" hidden="1">
      <c r="A145" s="107" t="s">
        <v>60</v>
      </c>
      <c r="B145" s="13" t="s">
        <v>61</v>
      </c>
      <c r="C145" s="821">
        <f>90000+20000</f>
        <v>110000</v>
      </c>
      <c r="D145" s="25"/>
      <c r="E145" s="172"/>
      <c r="F145" s="140"/>
      <c r="G145" s="71"/>
      <c r="H145" s="57"/>
    </row>
    <row r="146" spans="1:8" s="9" customFormat="1" ht="13.5" customHeight="1" hidden="1">
      <c r="A146" s="107" t="s">
        <v>1054</v>
      </c>
      <c r="B146" s="13" t="s">
        <v>1055</v>
      </c>
      <c r="C146" s="821">
        <f>12000+30000</f>
        <v>42000</v>
      </c>
      <c r="D146" s="26"/>
      <c r="E146" s="46"/>
      <c r="F146" s="140"/>
      <c r="G146" s="71"/>
      <c r="H146" s="57"/>
    </row>
    <row r="147" spans="1:5" s="100" customFormat="1" ht="13.5">
      <c r="A147" s="353" t="s">
        <v>125</v>
      </c>
      <c r="B147" s="33" t="s">
        <v>8</v>
      </c>
      <c r="C147" s="33">
        <f>SUM(C148:C152)</f>
        <v>97000</v>
      </c>
      <c r="D147" s="26"/>
      <c r="E147" s="46"/>
    </row>
    <row r="148" spans="1:5" ht="13.5" hidden="1">
      <c r="A148" s="107" t="s">
        <v>102</v>
      </c>
      <c r="B148" s="25" t="s">
        <v>8</v>
      </c>
      <c r="C148" s="821">
        <f>9000+20000</f>
        <v>29000</v>
      </c>
      <c r="D148" s="172"/>
      <c r="E148" s="172"/>
    </row>
    <row r="149" spans="1:5" ht="13.5" hidden="1">
      <c r="A149" s="107" t="s">
        <v>203</v>
      </c>
      <c r="B149" s="13" t="s">
        <v>202</v>
      </c>
      <c r="C149" s="821">
        <f>6500+2000</f>
        <v>8500</v>
      </c>
      <c r="D149" s="25"/>
      <c r="E149" s="172"/>
    </row>
    <row r="150" spans="1:5" ht="13.5" hidden="1">
      <c r="A150" s="107" t="s">
        <v>268</v>
      </c>
      <c r="B150" s="57" t="s">
        <v>267</v>
      </c>
      <c r="C150" s="821">
        <f>5000+10000</f>
        <v>15000</v>
      </c>
      <c r="D150" s="25"/>
      <c r="E150" s="172"/>
    </row>
    <row r="151" spans="1:5" ht="13.5" hidden="1">
      <c r="A151" s="107" t="s">
        <v>266</v>
      </c>
      <c r="B151" s="57" t="s">
        <v>265</v>
      </c>
      <c r="C151" s="821">
        <f>15000+20000+3000</f>
        <v>38000</v>
      </c>
      <c r="D151" s="25"/>
      <c r="E151" s="172"/>
    </row>
    <row r="152" spans="1:5" ht="13.5" hidden="1">
      <c r="A152" s="107" t="s">
        <v>100</v>
      </c>
      <c r="B152" s="25" t="s">
        <v>7</v>
      </c>
      <c r="C152" s="821">
        <v>6500</v>
      </c>
      <c r="D152" s="25"/>
      <c r="E152" s="172"/>
    </row>
    <row r="153" spans="1:5" ht="14.25" thickBot="1">
      <c r="A153" s="107"/>
      <c r="B153" s="25"/>
      <c r="C153" s="24"/>
      <c r="D153" s="172"/>
      <c r="E153" s="172"/>
    </row>
    <row r="154" spans="1:5" ht="14.25" thickBot="1">
      <c r="A154" s="951" t="s">
        <v>4</v>
      </c>
      <c r="B154" s="952"/>
      <c r="C154" s="32">
        <f>C155+C158</f>
        <v>35500</v>
      </c>
      <c r="D154" s="22"/>
      <c r="E154" s="22"/>
    </row>
    <row r="155" spans="1:5" ht="13.5">
      <c r="A155" s="353" t="s">
        <v>126</v>
      </c>
      <c r="B155" s="12" t="s">
        <v>127</v>
      </c>
      <c r="C155" s="34">
        <f>SUM(C156:C157)</f>
        <v>32500</v>
      </c>
      <c r="D155" s="321"/>
      <c r="E155" s="321"/>
    </row>
    <row r="156" spans="1:5" ht="13.5" hidden="1">
      <c r="A156" s="107" t="s">
        <v>101</v>
      </c>
      <c r="B156" s="25" t="s">
        <v>9</v>
      </c>
      <c r="C156" s="821">
        <f>6500*2+3000</f>
        <v>16000</v>
      </c>
      <c r="D156" s="22"/>
      <c r="E156" s="22"/>
    </row>
    <row r="157" spans="1:5" ht="13.5" hidden="1">
      <c r="A157" s="107" t="s">
        <v>62</v>
      </c>
      <c r="B157" s="24" t="s">
        <v>63</v>
      </c>
      <c r="C157" s="821">
        <f>6000*2+4500</f>
        <v>16500</v>
      </c>
      <c r="D157" s="22"/>
      <c r="E157" s="22"/>
    </row>
    <row r="158" spans="1:5" ht="13.5">
      <c r="A158" s="353" t="s">
        <v>128</v>
      </c>
      <c r="B158" s="12" t="s">
        <v>146</v>
      </c>
      <c r="C158" s="26">
        <f>SUM(C159)</f>
        <v>3000</v>
      </c>
      <c r="D158" s="22"/>
      <c r="E158" s="22"/>
    </row>
    <row r="159" spans="1:5" ht="13.5" hidden="1">
      <c r="A159" s="107" t="s">
        <v>239</v>
      </c>
      <c r="B159" s="25" t="s">
        <v>56</v>
      </c>
      <c r="C159" s="821">
        <v>3000</v>
      </c>
      <c r="D159" s="22"/>
      <c r="E159" s="22"/>
    </row>
    <row r="160" spans="1:7" ht="13.5" hidden="1">
      <c r="A160" s="107"/>
      <c r="B160" s="25"/>
      <c r="C160" s="24"/>
      <c r="D160" s="172"/>
      <c r="E160" s="172"/>
      <c r="G160" s="94"/>
    </row>
    <row r="161" spans="1:5" s="100" customFormat="1" ht="13.5" hidden="1" thickBot="1">
      <c r="A161" s="3"/>
      <c r="B161" s="3"/>
      <c r="C161" s="19"/>
      <c r="D161" s="577"/>
      <c r="E161" s="669"/>
    </row>
    <row r="162" spans="1:5" s="100" customFormat="1" ht="12.75" hidden="1">
      <c r="A162" s="64" t="s">
        <v>1131</v>
      </c>
      <c r="B162" s="221"/>
      <c r="C162" s="65"/>
      <c r="D162" s="67" t="s">
        <v>6</v>
      </c>
      <c r="E162" s="44">
        <v>3003</v>
      </c>
    </row>
    <row r="163" spans="1:5" s="100" customFormat="1" ht="13.5" hidden="1" thickBot="1">
      <c r="A163" s="49"/>
      <c r="B163" s="205"/>
      <c r="C163" s="119"/>
      <c r="D163" s="121"/>
      <c r="E163" s="452"/>
    </row>
    <row r="164" spans="1:6" ht="13.5" hidden="1">
      <c r="A164" s="169" t="s">
        <v>1365</v>
      </c>
      <c r="B164" s="245"/>
      <c r="C164" s="601"/>
      <c r="D164" s="601"/>
      <c r="E164" s="603"/>
      <c r="F164" s="653"/>
    </row>
    <row r="165" spans="1:5" ht="13.5" hidden="1">
      <c r="A165" s="52" t="s">
        <v>1120</v>
      </c>
      <c r="B165" s="13"/>
      <c r="C165" s="25"/>
      <c r="D165" s="25"/>
      <c r="E165" s="453"/>
    </row>
    <row r="166" spans="1:5" ht="13.5" hidden="1">
      <c r="A166" s="52" t="s">
        <v>1368</v>
      </c>
      <c r="B166" s="13"/>
      <c r="C166" s="25"/>
      <c r="D166" s="25"/>
      <c r="E166" s="453"/>
    </row>
    <row r="167" spans="1:5" ht="14.25" hidden="1" thickBot="1">
      <c r="A167" s="111" t="s">
        <v>16</v>
      </c>
      <c r="B167" s="196"/>
      <c r="C167" s="556"/>
      <c r="D167" s="736"/>
      <c r="E167" s="737"/>
    </row>
    <row r="168" spans="1:6" ht="14.25" hidden="1" thickBot="1">
      <c r="A168" s="54" t="s">
        <v>17</v>
      </c>
      <c r="B168" s="192"/>
      <c r="C168" s="55"/>
      <c r="D168" s="191"/>
      <c r="E168" s="161">
        <f>C170+C182+C191</f>
        <v>0</v>
      </c>
      <c r="F168" s="738"/>
    </row>
    <row r="169" spans="1:5" ht="14.25" hidden="1" thickBot="1">
      <c r="A169" s="12"/>
      <c r="B169" s="12"/>
      <c r="C169" s="33"/>
      <c r="D169" s="19"/>
      <c r="E169" s="19"/>
    </row>
    <row r="170" spans="1:5" ht="14.25" hidden="1" thickBot="1">
      <c r="A170" s="947" t="s">
        <v>2</v>
      </c>
      <c r="B170" s="948"/>
      <c r="C170" s="38">
        <f>C171+C173+C176+C178</f>
        <v>0</v>
      </c>
      <c r="D170" s="19"/>
      <c r="E170" s="19"/>
    </row>
    <row r="171" spans="1:5" ht="13.5" hidden="1">
      <c r="A171" s="12" t="s">
        <v>113</v>
      </c>
      <c r="B171" s="12" t="s">
        <v>114</v>
      </c>
      <c r="C171" s="34">
        <f>SUM(C172)</f>
        <v>0</v>
      </c>
      <c r="D171" s="526"/>
      <c r="E171" s="526"/>
    </row>
    <row r="172" spans="1:5" ht="13.5" hidden="1">
      <c r="A172" s="13" t="s">
        <v>50</v>
      </c>
      <c r="B172" s="13" t="s">
        <v>49</v>
      </c>
      <c r="C172" s="809"/>
      <c r="D172" s="23"/>
      <c r="E172" s="33"/>
    </row>
    <row r="173" spans="1:5" ht="13.5" hidden="1">
      <c r="A173" s="12" t="s">
        <v>115</v>
      </c>
      <c r="B173" s="12" t="s">
        <v>116</v>
      </c>
      <c r="C173" s="33">
        <f>SUM(C174:C175)</f>
        <v>0</v>
      </c>
      <c r="D173" s="23"/>
      <c r="E173" s="33"/>
    </row>
    <row r="174" spans="1:5" ht="13.5" hidden="1">
      <c r="A174" s="13" t="s">
        <v>72</v>
      </c>
      <c r="B174" s="13" t="s">
        <v>73</v>
      </c>
      <c r="C174" s="809"/>
      <c r="D174" s="23"/>
      <c r="E174" s="33"/>
    </row>
    <row r="175" spans="1:5" ht="13.5" hidden="1">
      <c r="A175" s="13" t="s">
        <v>96</v>
      </c>
      <c r="B175" s="13" t="s">
        <v>71</v>
      </c>
      <c r="C175" s="809"/>
      <c r="D175" s="23"/>
      <c r="E175" s="33"/>
    </row>
    <row r="176" spans="1:5" ht="13.5" hidden="1">
      <c r="A176" s="12" t="s">
        <v>117</v>
      </c>
      <c r="B176" s="12" t="s">
        <v>118</v>
      </c>
      <c r="C176" s="34">
        <f>SUM(C177)</f>
        <v>0</v>
      </c>
      <c r="D176" s="526"/>
      <c r="E176" s="526"/>
    </row>
    <row r="177" spans="1:5" ht="13.5" hidden="1">
      <c r="A177" s="13" t="s">
        <v>51</v>
      </c>
      <c r="B177" s="25" t="s">
        <v>52</v>
      </c>
      <c r="C177" s="809"/>
      <c r="D177" s="432"/>
      <c r="E177" s="107"/>
    </row>
    <row r="178" spans="1:5" ht="13.5" hidden="1">
      <c r="A178" s="353" t="s">
        <v>169</v>
      </c>
      <c r="B178" s="33" t="s">
        <v>135</v>
      </c>
      <c r="C178" s="26">
        <f>SUM(C179:C180)</f>
        <v>0</v>
      </c>
      <c r="D178" s="432"/>
      <c r="E178" s="107"/>
    </row>
    <row r="179" spans="1:5" ht="13.5" hidden="1">
      <c r="A179" s="107" t="s">
        <v>171</v>
      </c>
      <c r="B179" s="25" t="s">
        <v>75</v>
      </c>
      <c r="C179" s="809"/>
      <c r="D179" s="115"/>
      <c r="E179" s="26"/>
    </row>
    <row r="180" spans="1:5" ht="13.5" hidden="1">
      <c r="A180" s="107" t="s">
        <v>173</v>
      </c>
      <c r="B180" s="25" t="s">
        <v>135</v>
      </c>
      <c r="C180" s="809"/>
      <c r="D180" s="432"/>
      <c r="E180" s="107"/>
    </row>
    <row r="181" spans="1:5" ht="14.25" hidden="1" thickBot="1">
      <c r="A181" s="107"/>
      <c r="B181" s="25"/>
      <c r="C181" s="25"/>
      <c r="D181" s="432"/>
      <c r="E181" s="107"/>
    </row>
    <row r="182" spans="1:5" ht="14.25" hidden="1" thickBot="1">
      <c r="A182" s="949" t="s">
        <v>3</v>
      </c>
      <c r="B182" s="950"/>
      <c r="C182" s="36">
        <f>C183+C185+C187</f>
        <v>0</v>
      </c>
      <c r="D182" s="432"/>
      <c r="E182" s="5"/>
    </row>
    <row r="183" spans="1:5" s="104" customFormat="1" ht="13.5" hidden="1">
      <c r="A183" s="353" t="s">
        <v>120</v>
      </c>
      <c r="B183" s="812" t="s">
        <v>121</v>
      </c>
      <c r="C183" s="33">
        <f>C184</f>
        <v>0</v>
      </c>
      <c r="D183" s="596"/>
      <c r="E183" s="208"/>
    </row>
    <row r="184" spans="1:5" s="104" customFormat="1" ht="13.5" hidden="1">
      <c r="A184" s="107" t="s">
        <v>57</v>
      </c>
      <c r="B184" s="57" t="s">
        <v>208</v>
      </c>
      <c r="C184" s="809"/>
      <c r="D184" s="596"/>
      <c r="E184" s="208"/>
    </row>
    <row r="185" spans="1:5" ht="13.5" hidden="1">
      <c r="A185" s="353" t="s">
        <v>123</v>
      </c>
      <c r="B185" s="12" t="s">
        <v>124</v>
      </c>
      <c r="C185" s="34">
        <f>SUM(C186)</f>
        <v>0</v>
      </c>
      <c r="D185" s="537"/>
      <c r="E185" s="529"/>
    </row>
    <row r="186" spans="1:5" ht="13.5" hidden="1">
      <c r="A186" s="107" t="s">
        <v>58</v>
      </c>
      <c r="B186" s="13" t="s">
        <v>59</v>
      </c>
      <c r="C186" s="809"/>
      <c r="D186" s="596"/>
      <c r="E186" s="208"/>
    </row>
    <row r="187" spans="1:5" ht="13.5" hidden="1">
      <c r="A187" s="353" t="s">
        <v>125</v>
      </c>
      <c r="B187" s="33" t="s">
        <v>8</v>
      </c>
      <c r="C187" s="33">
        <f>SUM(C188:C189)</f>
        <v>0</v>
      </c>
      <c r="D187" s="596"/>
      <c r="E187" s="208"/>
    </row>
    <row r="188" spans="1:5" ht="13.5" hidden="1">
      <c r="A188" s="107" t="s">
        <v>102</v>
      </c>
      <c r="B188" s="25" t="s">
        <v>8</v>
      </c>
      <c r="C188" s="809"/>
      <c r="D188" s="172"/>
      <c r="E188" s="172"/>
    </row>
    <row r="189" spans="1:5" ht="13.5" hidden="1">
      <c r="A189" s="107" t="s">
        <v>100</v>
      </c>
      <c r="B189" s="25" t="s">
        <v>7</v>
      </c>
      <c r="C189" s="809"/>
      <c r="D189" s="25"/>
      <c r="E189" s="172"/>
    </row>
    <row r="190" spans="1:5" ht="14.25" hidden="1" thickBot="1">
      <c r="A190" s="107"/>
      <c r="B190" s="25"/>
      <c r="C190" s="24"/>
      <c r="D190" s="172"/>
      <c r="E190" s="172"/>
    </row>
    <row r="191" spans="1:5" ht="14.25" hidden="1" thickBot="1">
      <c r="A191" s="951" t="s">
        <v>4</v>
      </c>
      <c r="B191" s="952"/>
      <c r="C191" s="32">
        <f>C192+C195</f>
        <v>0</v>
      </c>
      <c r="D191" s="22"/>
      <c r="E191" s="22"/>
    </row>
    <row r="192" spans="1:5" ht="13.5" hidden="1">
      <c r="A192" s="353" t="s">
        <v>126</v>
      </c>
      <c r="B192" s="12" t="s">
        <v>127</v>
      </c>
      <c r="C192" s="34">
        <f>SUM(C193:C194)</f>
        <v>0</v>
      </c>
      <c r="D192" s="321"/>
      <c r="E192" s="321"/>
    </row>
    <row r="193" spans="1:5" ht="13.5" hidden="1">
      <c r="A193" s="107" t="s">
        <v>101</v>
      </c>
      <c r="B193" s="25" t="s">
        <v>9</v>
      </c>
      <c r="C193" s="809"/>
      <c r="D193" s="22"/>
      <c r="E193" s="22"/>
    </row>
    <row r="194" spans="1:5" ht="13.5" hidden="1">
      <c r="A194" s="107" t="s">
        <v>62</v>
      </c>
      <c r="B194" s="24" t="s">
        <v>63</v>
      </c>
      <c r="C194" s="809"/>
      <c r="D194" s="22"/>
      <c r="E194" s="22"/>
    </row>
    <row r="195" spans="1:5" ht="13.5" hidden="1">
      <c r="A195" s="353" t="s">
        <v>128</v>
      </c>
      <c r="B195" s="12" t="s">
        <v>146</v>
      </c>
      <c r="C195" s="26">
        <f>SUM(C196)</f>
        <v>0</v>
      </c>
      <c r="D195" s="22"/>
      <c r="E195" s="22"/>
    </row>
    <row r="196" spans="1:5" ht="13.5" hidden="1">
      <c r="A196" s="107" t="s">
        <v>239</v>
      </c>
      <c r="B196" s="25" t="s">
        <v>56</v>
      </c>
      <c r="C196" s="809"/>
      <c r="D196" s="22"/>
      <c r="E196" s="22"/>
    </row>
    <row r="197" ht="12.75" hidden="1"/>
    <row r="198" ht="12.75" hidden="1"/>
  </sheetData>
  <sheetProtection/>
  <mergeCells count="11">
    <mergeCell ref="A136:B136"/>
    <mergeCell ref="A154:B154"/>
    <mergeCell ref="A170:B170"/>
    <mergeCell ref="A182:B182"/>
    <mergeCell ref="A191:B191"/>
    <mergeCell ref="A18:B18"/>
    <mergeCell ref="A41:B41"/>
    <mergeCell ref="A61:B61"/>
    <mergeCell ref="A88:B88"/>
    <mergeCell ref="A96:B96"/>
    <mergeCell ref="A122:B122"/>
  </mergeCells>
  <printOptions/>
  <pageMargins left="0.7874015748031497" right="0.1968503937007874" top="0.7874015748031497" bottom="0.7874015748031497" header="0.3937007874015748" footer="0.1968503937007874"/>
  <pageSetup horizontalDpi="720" verticalDpi="72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Narrow,Normal"&amp;8Concejo Deliberante
Página &amp;P de &amp;N</oddFooter>
  </headerFooter>
  <rowBreaks count="1" manualBreakCount="1">
    <brk id="10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G53" sqref="G53"/>
    </sheetView>
  </sheetViews>
  <sheetFormatPr defaultColWidth="11.421875" defaultRowHeight="12.75"/>
  <cols>
    <col min="1" max="1" width="9.7109375" style="68" customWidth="1"/>
    <col min="2" max="2" width="46.7109375" style="68" customWidth="1"/>
    <col min="3" max="3" width="12.7109375" style="94" customWidth="1"/>
    <col min="4" max="4" width="10.7109375" style="99" customWidth="1"/>
    <col min="5" max="5" width="13.7109375" style="94" customWidth="1"/>
    <col min="6" max="16384" width="11.421875" style="68" customWidth="1"/>
  </cols>
  <sheetData>
    <row r="1" ht="12.75">
      <c r="A1" s="630" t="s">
        <v>1112</v>
      </c>
    </row>
    <row r="2" ht="12.75">
      <c r="A2" s="630"/>
    </row>
    <row r="3" ht="13.5" thickBot="1"/>
    <row r="4" spans="1:5" ht="13.5">
      <c r="A4" s="637" t="s">
        <v>1113</v>
      </c>
      <c r="B4" s="241"/>
      <c r="C4" s="722"/>
      <c r="D4" s="723" t="s">
        <v>6</v>
      </c>
      <c r="E4" s="76" t="s">
        <v>1114</v>
      </c>
    </row>
    <row r="5" spans="1:5" ht="14.25" thickBot="1">
      <c r="A5" s="238"/>
      <c r="B5" s="237"/>
      <c r="C5" s="724"/>
      <c r="D5" s="725"/>
      <c r="E5" s="173"/>
    </row>
    <row r="6" spans="1:5" s="631" customFormat="1" ht="13.5">
      <c r="A6" s="85" t="s">
        <v>1365</v>
      </c>
      <c r="B6" s="86"/>
      <c r="C6" s="87"/>
      <c r="D6" s="87"/>
      <c r="E6" s="88"/>
    </row>
    <row r="7" spans="1:5" s="631" customFormat="1" ht="13.5">
      <c r="A7" s="85" t="s">
        <v>1115</v>
      </c>
      <c r="B7" s="86"/>
      <c r="C7" s="87"/>
      <c r="D7" s="87"/>
      <c r="E7" s="88"/>
    </row>
    <row r="8" spans="1:5" s="631" customFormat="1" ht="13.5">
      <c r="A8" s="85" t="s">
        <v>1116</v>
      </c>
      <c r="B8" s="86"/>
      <c r="C8" s="87"/>
      <c r="D8" s="87"/>
      <c r="E8" s="88"/>
    </row>
    <row r="9" spans="1:5" s="631" customFormat="1" ht="14.25" thickBot="1">
      <c r="A9" s="238" t="s">
        <v>16</v>
      </c>
      <c r="B9" s="237"/>
      <c r="C9" s="236"/>
      <c r="D9" s="236"/>
      <c r="E9" s="235"/>
    </row>
    <row r="10" spans="1:7" s="631" customFormat="1" ht="14.25" thickBot="1">
      <c r="A10" s="89" t="s">
        <v>17</v>
      </c>
      <c r="B10" s="90"/>
      <c r="C10" s="91"/>
      <c r="D10" s="91"/>
      <c r="E10" s="93">
        <f>C12+C35+C50+C70</f>
        <v>5333506</v>
      </c>
      <c r="G10" s="823"/>
    </row>
    <row r="11" spans="1:5" s="318" customFormat="1" ht="14.25" thickBot="1">
      <c r="A11" s="95"/>
      <c r="B11" s="95"/>
      <c r="C11" s="96"/>
      <c r="D11" s="96"/>
      <c r="E11" s="96"/>
    </row>
    <row r="12" spans="1:5" s="318" customFormat="1" ht="14.25" thickBot="1">
      <c r="A12" s="961" t="s">
        <v>1</v>
      </c>
      <c r="B12" s="962"/>
      <c r="C12" s="259">
        <f>(C13+C20+C27)</f>
        <v>4775936</v>
      </c>
      <c r="D12" s="288"/>
      <c r="E12" s="258"/>
    </row>
    <row r="13" spans="1:6" s="57" customFormat="1" ht="12.75" customHeight="1">
      <c r="A13" s="12" t="s">
        <v>107</v>
      </c>
      <c r="B13" s="286" t="s">
        <v>108</v>
      </c>
      <c r="C13" s="33">
        <f>SUM(C14:C19)</f>
        <v>6</v>
      </c>
      <c r="D13" s="23"/>
      <c r="E13" s="25"/>
      <c r="F13" s="135"/>
    </row>
    <row r="14" spans="1:6" s="9" customFormat="1" ht="12.75" customHeight="1" hidden="1">
      <c r="A14" s="13" t="s">
        <v>27</v>
      </c>
      <c r="B14" s="25" t="s">
        <v>24</v>
      </c>
      <c r="C14" s="821">
        <v>1</v>
      </c>
      <c r="D14" s="23"/>
      <c r="E14" s="26"/>
      <c r="F14" s="132"/>
    </row>
    <row r="15" spans="1:6" s="9" customFormat="1" ht="12.75" customHeight="1" hidden="1">
      <c r="A15" s="13" t="s">
        <v>28</v>
      </c>
      <c r="B15" s="25" t="s">
        <v>26</v>
      </c>
      <c r="C15" s="821">
        <v>1</v>
      </c>
      <c r="D15" s="23"/>
      <c r="E15" s="26"/>
      <c r="F15" s="132"/>
    </row>
    <row r="16" spans="1:6" s="10" customFormat="1" ht="12.75" customHeight="1" hidden="1">
      <c r="A16" s="13" t="s">
        <v>29</v>
      </c>
      <c r="B16" s="25" t="s">
        <v>86</v>
      </c>
      <c r="C16" s="821">
        <v>1</v>
      </c>
      <c r="D16" s="23"/>
      <c r="E16" s="26"/>
      <c r="F16" s="132"/>
    </row>
    <row r="17" spans="1:6" s="10" customFormat="1" ht="12.75" customHeight="1" hidden="1">
      <c r="A17" s="13" t="s">
        <v>30</v>
      </c>
      <c r="B17" s="25" t="s">
        <v>87</v>
      </c>
      <c r="C17" s="821">
        <v>1</v>
      </c>
      <c r="D17" s="23"/>
      <c r="E17" s="26"/>
      <c r="F17" s="132"/>
    </row>
    <row r="18" spans="1:6" s="10" customFormat="1" ht="12.75" customHeight="1" hidden="1">
      <c r="A18" s="13" t="s">
        <v>31</v>
      </c>
      <c r="B18" s="25" t="s">
        <v>25</v>
      </c>
      <c r="C18" s="821">
        <v>1</v>
      </c>
      <c r="D18" s="23"/>
      <c r="E18" s="26"/>
      <c r="F18" s="132"/>
    </row>
    <row r="19" spans="1:6" s="10" customFormat="1" ht="12.75" customHeight="1" hidden="1">
      <c r="A19" s="13" t="s">
        <v>32</v>
      </c>
      <c r="B19" s="25" t="s">
        <v>23</v>
      </c>
      <c r="C19" s="821">
        <v>1</v>
      </c>
      <c r="D19" s="23"/>
      <c r="E19" s="26"/>
      <c r="F19" s="132"/>
    </row>
    <row r="20" spans="1:6" s="10" customFormat="1" ht="12.75" customHeight="1">
      <c r="A20" s="12" t="s">
        <v>109</v>
      </c>
      <c r="B20" s="33" t="s">
        <v>110</v>
      </c>
      <c r="C20" s="33">
        <f>SUM(C21:C26)</f>
        <v>4221732</v>
      </c>
      <c r="D20" s="23"/>
      <c r="E20" s="26"/>
      <c r="F20" s="132"/>
    </row>
    <row r="21" spans="1:6" s="10" customFormat="1" ht="12.75" customHeight="1" hidden="1">
      <c r="A21" s="13" t="s">
        <v>34</v>
      </c>
      <c r="B21" s="25" t="s">
        <v>88</v>
      </c>
      <c r="C21" s="821">
        <v>3260747</v>
      </c>
      <c r="D21" s="23"/>
      <c r="E21" s="26"/>
      <c r="F21" s="133"/>
    </row>
    <row r="22" spans="1:8" s="9" customFormat="1" ht="12.75" customHeight="1" hidden="1">
      <c r="A22" s="13" t="s">
        <v>35</v>
      </c>
      <c r="B22" s="25" t="s">
        <v>89</v>
      </c>
      <c r="C22" s="821">
        <f>652150+146734</f>
        <v>798884</v>
      </c>
      <c r="D22" s="23"/>
      <c r="E22" s="26"/>
      <c r="F22" s="70"/>
      <c r="G22" s="57"/>
      <c r="H22" s="57"/>
    </row>
    <row r="23" spans="1:6" s="9" customFormat="1" ht="12.75" customHeight="1" hidden="1">
      <c r="A23" s="13" t="s">
        <v>36</v>
      </c>
      <c r="B23" s="25" t="s">
        <v>90</v>
      </c>
      <c r="C23" s="821">
        <f>135722+1375.2+25000+0.8</f>
        <v>162098</v>
      </c>
      <c r="D23" s="23"/>
      <c r="E23" s="26"/>
      <c r="F23" s="132"/>
    </row>
    <row r="24" spans="1:6" s="10" customFormat="1" ht="12.75" customHeight="1" hidden="1">
      <c r="A24" s="13" t="s">
        <v>37</v>
      </c>
      <c r="B24" s="25" t="s">
        <v>91</v>
      </c>
      <c r="C24" s="821">
        <v>1</v>
      </c>
      <c r="D24" s="23"/>
      <c r="E24" s="843"/>
      <c r="F24" s="132"/>
    </row>
    <row r="25" spans="1:6" s="10" customFormat="1" ht="12.75" customHeight="1" hidden="1">
      <c r="A25" s="13" t="s">
        <v>38</v>
      </c>
      <c r="B25" s="25" t="s">
        <v>33</v>
      </c>
      <c r="C25" s="821">
        <v>1</v>
      </c>
      <c r="D25" s="23"/>
      <c r="E25" s="26"/>
      <c r="F25" s="132"/>
    </row>
    <row r="26" spans="1:6" s="10" customFormat="1" ht="12.75" customHeight="1" hidden="1">
      <c r="A26" s="13" t="s">
        <v>93</v>
      </c>
      <c r="B26" s="25" t="s">
        <v>92</v>
      </c>
      <c r="C26" s="821">
        <v>1</v>
      </c>
      <c r="D26" s="23"/>
      <c r="E26" s="26"/>
      <c r="F26" s="133"/>
    </row>
    <row r="27" spans="1:6" s="10" customFormat="1" ht="12.75" customHeight="1">
      <c r="A27" s="12" t="s">
        <v>111</v>
      </c>
      <c r="B27" s="33" t="s">
        <v>112</v>
      </c>
      <c r="C27" s="33">
        <f>SUM(C28:C33)</f>
        <v>554198</v>
      </c>
      <c r="D27" s="23"/>
      <c r="E27" s="726"/>
      <c r="F27" s="133"/>
    </row>
    <row r="28" spans="1:6" s="10" customFormat="1" ht="12.75" customHeight="1" hidden="1">
      <c r="A28" s="13" t="s">
        <v>43</v>
      </c>
      <c r="B28" s="25" t="s">
        <v>39</v>
      </c>
      <c r="C28" s="821">
        <v>432645</v>
      </c>
      <c r="D28" s="23"/>
      <c r="E28" s="726"/>
      <c r="F28" s="281"/>
    </row>
    <row r="29" spans="1:6" s="10" customFormat="1" ht="12.75" customHeight="1" hidden="1">
      <c r="A29" s="13" t="s">
        <v>44</v>
      </c>
      <c r="B29" s="25" t="s">
        <v>41</v>
      </c>
      <c r="C29" s="821">
        <f>84059+18913</f>
        <v>102972</v>
      </c>
      <c r="D29" s="23"/>
      <c r="E29" s="726"/>
      <c r="F29" s="281"/>
    </row>
    <row r="30" spans="1:6" s="10" customFormat="1" ht="12.75" customHeight="1" hidden="1">
      <c r="A30" s="13" t="s">
        <v>45</v>
      </c>
      <c r="B30" s="25" t="s">
        <v>94</v>
      </c>
      <c r="C30" s="821">
        <f>18028+550</f>
        <v>18578</v>
      </c>
      <c r="D30" s="23"/>
      <c r="E30" s="726"/>
      <c r="F30" s="281"/>
    </row>
    <row r="31" spans="1:6" s="10" customFormat="1" ht="12.75" customHeight="1" hidden="1">
      <c r="A31" s="13" t="s">
        <v>46</v>
      </c>
      <c r="B31" s="25" t="s">
        <v>95</v>
      </c>
      <c r="C31" s="821">
        <v>1</v>
      </c>
      <c r="D31" s="23"/>
      <c r="E31" s="726"/>
      <c r="F31" s="281"/>
    </row>
    <row r="32" spans="1:5" s="10" customFormat="1" ht="12.75" customHeight="1" hidden="1">
      <c r="A32" s="13" t="s">
        <v>47</v>
      </c>
      <c r="B32" s="25" t="s">
        <v>40</v>
      </c>
      <c r="C32" s="821">
        <f>1</f>
        <v>1</v>
      </c>
      <c r="D32" s="23"/>
      <c r="E32" s="726"/>
    </row>
    <row r="33" spans="1:5" s="100" customFormat="1" ht="13.5" hidden="1">
      <c r="A33" s="13" t="s">
        <v>48</v>
      </c>
      <c r="B33" s="25" t="s">
        <v>42</v>
      </c>
      <c r="C33" s="822">
        <v>1</v>
      </c>
      <c r="D33" s="87"/>
      <c r="E33" s="727"/>
    </row>
    <row r="34" spans="1:5" s="100" customFormat="1" ht="14.25" thickBot="1">
      <c r="A34" s="13"/>
      <c r="B34" s="25"/>
      <c r="C34" s="101"/>
      <c r="D34" s="87"/>
      <c r="E34" s="727"/>
    </row>
    <row r="35" spans="1:5" s="100" customFormat="1" ht="14.25" thickBot="1">
      <c r="A35" s="955" t="s">
        <v>2</v>
      </c>
      <c r="B35" s="956"/>
      <c r="C35" s="97">
        <f>C36+C38+C41+C43+C45</f>
        <v>69770</v>
      </c>
      <c r="D35" s="288"/>
      <c r="E35" s="152"/>
    </row>
    <row r="36" spans="1:5" s="78" customFormat="1" ht="13.5">
      <c r="A36" s="12" t="s">
        <v>113</v>
      </c>
      <c r="B36" s="286" t="s">
        <v>114</v>
      </c>
      <c r="C36" s="96">
        <f>SUM(C37)</f>
        <v>11700</v>
      </c>
      <c r="D36" s="79"/>
      <c r="E36" s="728"/>
    </row>
    <row r="37" spans="1:7" s="57" customFormat="1" ht="13.5" customHeight="1" hidden="1">
      <c r="A37" s="13" t="s">
        <v>50</v>
      </c>
      <c r="B37" s="9" t="s">
        <v>49</v>
      </c>
      <c r="C37" s="821">
        <f>11700</f>
        <v>11700</v>
      </c>
      <c r="D37" s="23"/>
      <c r="E37" s="729"/>
      <c r="G37" s="71"/>
    </row>
    <row r="38" spans="1:7" s="57" customFormat="1" ht="13.5" customHeight="1">
      <c r="A38" s="12" t="s">
        <v>115</v>
      </c>
      <c r="B38" s="791" t="s">
        <v>116</v>
      </c>
      <c r="C38" s="33">
        <f>SUM(C39:C40)</f>
        <v>24800</v>
      </c>
      <c r="D38" s="23"/>
      <c r="E38" s="729"/>
      <c r="G38" s="71"/>
    </row>
    <row r="39" spans="1:7" s="57" customFormat="1" ht="13.5" customHeight="1" hidden="1">
      <c r="A39" s="13" t="s">
        <v>72</v>
      </c>
      <c r="B39" s="9" t="s">
        <v>73</v>
      </c>
      <c r="C39" s="821">
        <v>14600</v>
      </c>
      <c r="D39" s="23"/>
      <c r="E39" s="729"/>
      <c r="G39" s="71"/>
    </row>
    <row r="40" spans="1:7" s="57" customFormat="1" ht="13.5" customHeight="1" hidden="1">
      <c r="A40" s="13" t="s">
        <v>96</v>
      </c>
      <c r="B40" s="9" t="s">
        <v>71</v>
      </c>
      <c r="C40" s="821">
        <v>10200</v>
      </c>
      <c r="D40" s="23"/>
      <c r="E40" s="729"/>
      <c r="G40" s="71"/>
    </row>
    <row r="41" spans="1:7" s="57" customFormat="1" ht="13.5" customHeight="1">
      <c r="A41" s="12" t="s">
        <v>117</v>
      </c>
      <c r="B41" s="791" t="s">
        <v>1117</v>
      </c>
      <c r="C41" s="33">
        <f>SUM(C42)</f>
        <v>18870</v>
      </c>
      <c r="D41" s="23"/>
      <c r="E41" s="729"/>
      <c r="G41" s="71"/>
    </row>
    <row r="42" spans="1:8" s="9" customFormat="1" ht="13.5" customHeight="1" hidden="1">
      <c r="A42" s="13" t="s">
        <v>51</v>
      </c>
      <c r="B42" s="25" t="s">
        <v>52</v>
      </c>
      <c r="C42" s="821">
        <v>18870</v>
      </c>
      <c r="D42" s="115"/>
      <c r="E42" s="726"/>
      <c r="F42" s="140"/>
      <c r="G42" s="71"/>
      <c r="H42" s="57"/>
    </row>
    <row r="43" spans="1:8" s="9" customFormat="1" ht="13.5" customHeight="1">
      <c r="A43" s="353" t="s">
        <v>134</v>
      </c>
      <c r="B43" s="33" t="s">
        <v>133</v>
      </c>
      <c r="C43" s="26">
        <f>SUM(C44)</f>
        <v>4350</v>
      </c>
      <c r="D43" s="115"/>
      <c r="E43" s="726"/>
      <c r="F43" s="140"/>
      <c r="G43" s="71"/>
      <c r="H43" s="57"/>
    </row>
    <row r="44" spans="1:5" s="100" customFormat="1" ht="13.5" hidden="1">
      <c r="A44" s="107" t="s">
        <v>103</v>
      </c>
      <c r="B44" s="25" t="s">
        <v>78</v>
      </c>
      <c r="C44" s="822">
        <v>4350</v>
      </c>
      <c r="D44" s="102"/>
      <c r="E44" s="727"/>
    </row>
    <row r="45" spans="1:5" s="100" customFormat="1" ht="13.5">
      <c r="A45" s="353" t="s">
        <v>169</v>
      </c>
      <c r="B45" s="33" t="s">
        <v>135</v>
      </c>
      <c r="C45" s="811">
        <f>SUM(C46:C48)</f>
        <v>10050</v>
      </c>
      <c r="D45" s="102"/>
      <c r="E45" s="727"/>
    </row>
    <row r="46" spans="1:8" s="9" customFormat="1" ht="13.5" customHeight="1" hidden="1">
      <c r="A46" s="107" t="s">
        <v>170</v>
      </c>
      <c r="B46" s="25" t="s">
        <v>70</v>
      </c>
      <c r="C46" s="821">
        <v>2700</v>
      </c>
      <c r="D46" s="115"/>
      <c r="E46" s="726"/>
      <c r="F46" s="140"/>
      <c r="G46" s="71"/>
      <c r="H46" s="57"/>
    </row>
    <row r="47" spans="1:8" s="9" customFormat="1" ht="13.5" customHeight="1" hidden="1">
      <c r="A47" s="107" t="s">
        <v>171</v>
      </c>
      <c r="B47" s="25" t="s">
        <v>75</v>
      </c>
      <c r="C47" s="821">
        <v>2450</v>
      </c>
      <c r="D47" s="115"/>
      <c r="E47" s="726"/>
      <c r="F47" s="140"/>
      <c r="G47" s="71"/>
      <c r="H47" s="57"/>
    </row>
    <row r="48" spans="1:8" s="9" customFormat="1" ht="13.5" customHeight="1" hidden="1">
      <c r="A48" s="107" t="s">
        <v>173</v>
      </c>
      <c r="B48" s="25" t="s">
        <v>144</v>
      </c>
      <c r="C48" s="821">
        <v>4900</v>
      </c>
      <c r="D48" s="115"/>
      <c r="E48" s="726"/>
      <c r="F48" s="286"/>
      <c r="G48" s="71"/>
      <c r="H48" s="109"/>
    </row>
    <row r="49" spans="1:8" s="9" customFormat="1" ht="13.5" customHeight="1" thickBot="1">
      <c r="A49" s="107"/>
      <c r="B49" s="25"/>
      <c r="C49" s="24"/>
      <c r="D49" s="115"/>
      <c r="E49" s="726"/>
      <c r="F49" s="286"/>
      <c r="G49" s="71"/>
      <c r="H49" s="109"/>
    </row>
    <row r="50" spans="1:5" s="100" customFormat="1" ht="14.25" thickBot="1">
      <c r="A50" s="957" t="s">
        <v>3</v>
      </c>
      <c r="B50" s="958"/>
      <c r="C50" s="98">
        <f>C51+C53+C55+C57+C60+C62+C64</f>
        <v>457450</v>
      </c>
      <c r="D50" s="288"/>
      <c r="E50" s="152"/>
    </row>
    <row r="51" spans="1:5" s="78" customFormat="1" ht="13.5">
      <c r="A51" s="353" t="s">
        <v>552</v>
      </c>
      <c r="B51" s="286" t="s">
        <v>553</v>
      </c>
      <c r="C51" s="96">
        <f>SUM(C52)</f>
        <v>3100</v>
      </c>
      <c r="D51" s="79"/>
      <c r="E51" s="728"/>
    </row>
    <row r="52" spans="1:9" s="9" customFormat="1" ht="13.5" customHeight="1" hidden="1">
      <c r="A52" s="107" t="s">
        <v>560</v>
      </c>
      <c r="B52" s="86" t="s">
        <v>561</v>
      </c>
      <c r="C52" s="821">
        <v>3100</v>
      </c>
      <c r="D52" s="115"/>
      <c r="E52" s="726"/>
      <c r="F52" s="140"/>
      <c r="G52" s="71"/>
      <c r="H52" s="57"/>
      <c r="I52" s="123"/>
    </row>
    <row r="53" spans="1:9" s="9" customFormat="1" ht="13.5" customHeight="1">
      <c r="A53" s="95" t="s">
        <v>120</v>
      </c>
      <c r="B53" s="95" t="s">
        <v>121</v>
      </c>
      <c r="C53" s="33">
        <f>SUM(C54)</f>
        <v>6350</v>
      </c>
      <c r="D53" s="115"/>
      <c r="E53" s="726"/>
      <c r="F53" s="140"/>
      <c r="G53" s="71"/>
      <c r="H53" s="57"/>
      <c r="I53" s="123"/>
    </row>
    <row r="54" spans="1:8" s="9" customFormat="1" ht="13.5" customHeight="1" hidden="1">
      <c r="A54" s="86" t="s">
        <v>57</v>
      </c>
      <c r="B54" s="86" t="s">
        <v>18</v>
      </c>
      <c r="C54" s="821">
        <v>6350</v>
      </c>
      <c r="D54" s="124"/>
      <c r="E54" s="726"/>
      <c r="F54" s="140"/>
      <c r="G54" s="71"/>
      <c r="H54" s="57"/>
    </row>
    <row r="55" spans="1:8" s="9" customFormat="1" ht="13.5" customHeight="1">
      <c r="A55" s="95" t="s">
        <v>130</v>
      </c>
      <c r="B55" s="95" t="s">
        <v>853</v>
      </c>
      <c r="C55" s="33">
        <f>SUM(C56)</f>
        <v>3500</v>
      </c>
      <c r="D55" s="124"/>
      <c r="E55" s="726"/>
      <c r="F55" s="140"/>
      <c r="G55" s="71"/>
      <c r="H55" s="57"/>
    </row>
    <row r="56" spans="1:8" s="9" customFormat="1" ht="13.5" customHeight="1" hidden="1">
      <c r="A56" s="86" t="s">
        <v>148</v>
      </c>
      <c r="B56" s="86" t="s">
        <v>77</v>
      </c>
      <c r="C56" s="821">
        <v>3500</v>
      </c>
      <c r="D56" s="115"/>
      <c r="E56" s="726"/>
      <c r="F56" s="280"/>
      <c r="G56" s="71"/>
      <c r="H56" s="71"/>
    </row>
    <row r="57" spans="1:8" s="9" customFormat="1" ht="13.5" customHeight="1">
      <c r="A57" s="353" t="s">
        <v>122</v>
      </c>
      <c r="B57" s="95" t="s">
        <v>175</v>
      </c>
      <c r="C57" s="33">
        <f>SUM(C58:C59)</f>
        <v>315000</v>
      </c>
      <c r="D57" s="124"/>
      <c r="E57" s="726"/>
      <c r="F57" s="140"/>
      <c r="G57" s="71"/>
      <c r="H57" s="57"/>
    </row>
    <row r="58" spans="1:6" s="78" customFormat="1" ht="13.5" hidden="1">
      <c r="A58" s="107" t="s">
        <v>150</v>
      </c>
      <c r="B58" s="86" t="s">
        <v>149</v>
      </c>
      <c r="C58" s="822">
        <v>5000</v>
      </c>
      <c r="D58" s="96"/>
      <c r="E58" s="728"/>
      <c r="F58" s="79"/>
    </row>
    <row r="59" spans="1:6" s="78" customFormat="1" ht="13.5" hidden="1">
      <c r="A59" s="107" t="s">
        <v>53</v>
      </c>
      <c r="B59" s="25" t="s">
        <v>97</v>
      </c>
      <c r="C59" s="822">
        <v>310000</v>
      </c>
      <c r="E59" s="728"/>
      <c r="F59" s="87" t="s">
        <v>1196</v>
      </c>
    </row>
    <row r="60" spans="1:6" s="78" customFormat="1" ht="13.5">
      <c r="A60" s="353" t="s">
        <v>123</v>
      </c>
      <c r="B60" s="33" t="s">
        <v>124</v>
      </c>
      <c r="C60" s="96">
        <f>SUM(C61)</f>
        <v>2500</v>
      </c>
      <c r="E60" s="728"/>
      <c r="F60" s="87"/>
    </row>
    <row r="61" spans="1:6" s="78" customFormat="1" ht="13.5" hidden="1">
      <c r="A61" s="107" t="s">
        <v>98</v>
      </c>
      <c r="B61" s="25" t="s">
        <v>69</v>
      </c>
      <c r="C61" s="822">
        <v>2500</v>
      </c>
      <c r="E61" s="728"/>
      <c r="F61" s="87"/>
    </row>
    <row r="62" spans="1:6" s="78" customFormat="1" ht="13.5">
      <c r="A62" s="353" t="s">
        <v>143</v>
      </c>
      <c r="B62" s="33" t="s">
        <v>61</v>
      </c>
      <c r="C62" s="96">
        <f>SUM(C63)</f>
        <v>10500</v>
      </c>
      <c r="E62" s="728"/>
      <c r="F62" s="87"/>
    </row>
    <row r="63" spans="1:6" s="78" customFormat="1" ht="13.5" hidden="1">
      <c r="A63" s="107" t="s">
        <v>60</v>
      </c>
      <c r="B63" s="86" t="s">
        <v>61</v>
      </c>
      <c r="C63" s="822">
        <v>10500</v>
      </c>
      <c r="E63" s="728"/>
      <c r="F63" s="87"/>
    </row>
    <row r="64" spans="1:6" s="78" customFormat="1" ht="13.5">
      <c r="A64" s="353" t="s">
        <v>125</v>
      </c>
      <c r="B64" s="33" t="s">
        <v>8</v>
      </c>
      <c r="C64" s="96">
        <f>SUM(C65:C68)</f>
        <v>116500</v>
      </c>
      <c r="E64" s="728"/>
      <c r="F64" s="87"/>
    </row>
    <row r="65" spans="1:9" s="78" customFormat="1" ht="13.5" hidden="1">
      <c r="A65" s="107" t="s">
        <v>102</v>
      </c>
      <c r="B65" s="25" t="s">
        <v>8</v>
      </c>
      <c r="C65" s="822">
        <v>93000</v>
      </c>
      <c r="E65" s="728"/>
      <c r="F65" s="87" t="s">
        <v>1374</v>
      </c>
      <c r="G65" s="100"/>
      <c r="H65" s="100"/>
      <c r="I65" s="100"/>
    </row>
    <row r="66" spans="1:6" s="78" customFormat="1" ht="13.5" hidden="1">
      <c r="A66" s="107" t="s">
        <v>104</v>
      </c>
      <c r="B66" s="25" t="s">
        <v>54</v>
      </c>
      <c r="C66" s="822">
        <v>15000</v>
      </c>
      <c r="E66" s="728"/>
      <c r="F66" s="96"/>
    </row>
    <row r="67" spans="1:6" s="100" customFormat="1" ht="13.5" hidden="1">
      <c r="A67" s="107" t="s">
        <v>203</v>
      </c>
      <c r="B67" s="86" t="s">
        <v>202</v>
      </c>
      <c r="C67" s="822">
        <v>2500</v>
      </c>
      <c r="D67" s="87"/>
      <c r="E67" s="728"/>
      <c r="F67" s="79"/>
    </row>
    <row r="68" spans="1:9" s="100" customFormat="1" ht="13.5" hidden="1">
      <c r="A68" s="107" t="s">
        <v>100</v>
      </c>
      <c r="B68" s="25" t="s">
        <v>7</v>
      </c>
      <c r="C68" s="822">
        <v>6000</v>
      </c>
      <c r="D68" s="26"/>
      <c r="E68" s="730"/>
      <c r="F68" s="79"/>
      <c r="G68" s="78"/>
      <c r="H68" s="78"/>
      <c r="I68" s="78"/>
    </row>
    <row r="69" spans="1:9" s="100" customFormat="1" ht="14.25" thickBot="1">
      <c r="A69" s="107"/>
      <c r="B69" s="25"/>
      <c r="C69" s="87"/>
      <c r="D69" s="26"/>
      <c r="E69" s="730"/>
      <c r="F69" s="79"/>
      <c r="G69" s="78"/>
      <c r="H69" s="78"/>
      <c r="I69" s="78"/>
    </row>
    <row r="70" spans="1:5" s="100" customFormat="1" ht="14.25" thickBot="1">
      <c r="A70" s="959" t="s">
        <v>4</v>
      </c>
      <c r="B70" s="960"/>
      <c r="C70" s="103">
        <f>C71+C74+C76</f>
        <v>30350</v>
      </c>
      <c r="D70" s="288"/>
      <c r="E70" s="727"/>
    </row>
    <row r="71" spans="1:5" s="78" customFormat="1" ht="13.5">
      <c r="A71" s="813" t="s">
        <v>126</v>
      </c>
      <c r="B71" s="286" t="s">
        <v>127</v>
      </c>
      <c r="C71" s="96">
        <f>SUM(C72:C73)</f>
        <v>15100</v>
      </c>
      <c r="D71" s="79"/>
      <c r="E71" s="728"/>
    </row>
    <row r="72" spans="1:5" s="100" customFormat="1" ht="13.5" hidden="1">
      <c r="A72" s="107" t="s">
        <v>101</v>
      </c>
      <c r="B72" s="105" t="s">
        <v>152</v>
      </c>
      <c r="C72" s="822">
        <v>9000</v>
      </c>
      <c r="D72" s="102"/>
      <c r="E72" s="727"/>
    </row>
    <row r="73" spans="1:5" s="100" customFormat="1" ht="13.5" hidden="1">
      <c r="A73" s="105" t="s">
        <v>62</v>
      </c>
      <c r="B73" s="105" t="s">
        <v>63</v>
      </c>
      <c r="C73" s="822">
        <v>6100</v>
      </c>
      <c r="D73" s="87"/>
      <c r="E73" s="727"/>
    </row>
    <row r="74" spans="1:5" s="100" customFormat="1" ht="13.5">
      <c r="A74" s="813" t="s">
        <v>142</v>
      </c>
      <c r="B74" s="813" t="s">
        <v>371</v>
      </c>
      <c r="C74" s="811">
        <f>SUM(C75)</f>
        <v>12600</v>
      </c>
      <c r="D74" s="87"/>
      <c r="E74" s="727"/>
    </row>
    <row r="75" spans="1:5" s="100" customFormat="1" ht="13.5" hidden="1">
      <c r="A75" s="105" t="s">
        <v>185</v>
      </c>
      <c r="B75" s="105" t="s">
        <v>371</v>
      </c>
      <c r="C75" s="822">
        <v>12600</v>
      </c>
      <c r="D75" s="102"/>
      <c r="E75" s="727"/>
    </row>
    <row r="76" spans="1:5" s="100" customFormat="1" ht="13.5">
      <c r="A76" s="353" t="s">
        <v>188</v>
      </c>
      <c r="B76" s="26" t="s">
        <v>56</v>
      </c>
      <c r="C76" s="811">
        <f>SUM(C77)</f>
        <v>2650</v>
      </c>
      <c r="D76" s="102"/>
      <c r="E76" s="727"/>
    </row>
    <row r="77" spans="1:5" s="100" customFormat="1" ht="13.5" hidden="1">
      <c r="A77" s="107" t="s">
        <v>189</v>
      </c>
      <c r="B77" s="24" t="s">
        <v>56</v>
      </c>
      <c r="C77" s="822">
        <v>2650</v>
      </c>
      <c r="D77" s="102"/>
      <c r="E77" s="727"/>
    </row>
    <row r="78" spans="1:5" s="100" customFormat="1" ht="13.5">
      <c r="A78" s="105"/>
      <c r="B78" s="105"/>
      <c r="C78" s="101"/>
      <c r="D78" s="87"/>
      <c r="E78" s="727"/>
    </row>
    <row r="79" spans="3:5" s="100" customFormat="1" ht="12.75">
      <c r="C79" s="102"/>
      <c r="D79" s="79"/>
      <c r="E79" s="727"/>
    </row>
    <row r="80" spans="3:5" s="100" customFormat="1" ht="12.75">
      <c r="C80" s="102"/>
      <c r="D80" s="79"/>
      <c r="E80" s="727"/>
    </row>
    <row r="81" spans="3:5" s="100" customFormat="1" ht="12.75">
      <c r="C81" s="102"/>
      <c r="D81" s="79"/>
      <c r="E81" s="727"/>
    </row>
    <row r="82" spans="3:5" s="100" customFormat="1" ht="12.75">
      <c r="C82" s="102"/>
      <c r="D82" s="79"/>
      <c r="E82" s="727"/>
    </row>
    <row r="83" spans="3:5" s="100" customFormat="1" ht="12.75">
      <c r="C83" s="102"/>
      <c r="D83" s="79"/>
      <c r="E83" s="727"/>
    </row>
    <row r="84" spans="3:5" s="100" customFormat="1" ht="12.75">
      <c r="C84" s="102"/>
      <c r="D84" s="79"/>
      <c r="E84" s="727"/>
    </row>
    <row r="85" spans="3:5" s="100" customFormat="1" ht="12.75">
      <c r="C85" s="102"/>
      <c r="D85" s="79"/>
      <c r="E85" s="727"/>
    </row>
    <row r="86" spans="3:5" s="100" customFormat="1" ht="12.75">
      <c r="C86" s="102"/>
      <c r="D86" s="79"/>
      <c r="E86" s="102"/>
    </row>
    <row r="87" spans="3:5" s="100" customFormat="1" ht="12.75">
      <c r="C87" s="102"/>
      <c r="D87" s="79"/>
      <c r="E87" s="102"/>
    </row>
    <row r="88" spans="3:5" s="100" customFormat="1" ht="12.75">
      <c r="C88" s="102"/>
      <c r="D88" s="79"/>
      <c r="E88" s="102"/>
    </row>
    <row r="89" spans="3:5" s="100" customFormat="1" ht="12.75">
      <c r="C89" s="102"/>
      <c r="D89" s="79"/>
      <c r="E89" s="102"/>
    </row>
    <row r="90" spans="3:5" s="100" customFormat="1" ht="12.75">
      <c r="C90" s="102"/>
      <c r="D90" s="79"/>
      <c r="E90" s="102"/>
    </row>
    <row r="91" spans="3:5" s="100" customFormat="1" ht="12.75">
      <c r="C91" s="102"/>
      <c r="D91" s="79"/>
      <c r="E91" s="102"/>
    </row>
    <row r="92" spans="3:5" s="100" customFormat="1" ht="12.75">
      <c r="C92" s="102"/>
      <c r="D92" s="79"/>
      <c r="E92" s="102"/>
    </row>
    <row r="93" spans="3:5" s="100" customFormat="1" ht="12.75">
      <c r="C93" s="102"/>
      <c r="D93" s="79"/>
      <c r="E93" s="102"/>
    </row>
    <row r="94" spans="3:5" s="100" customFormat="1" ht="12.75">
      <c r="C94" s="102"/>
      <c r="D94" s="79"/>
      <c r="E94" s="102"/>
    </row>
    <row r="95" spans="3:5" s="100" customFormat="1" ht="12.75">
      <c r="C95" s="102"/>
      <c r="D95" s="79"/>
      <c r="E95" s="102"/>
    </row>
    <row r="96" spans="3:5" s="100" customFormat="1" ht="12.75">
      <c r="C96" s="102"/>
      <c r="D96" s="79"/>
      <c r="E96" s="102"/>
    </row>
    <row r="97" spans="3:5" s="100" customFormat="1" ht="12.75">
      <c r="C97" s="102"/>
      <c r="D97" s="79"/>
      <c r="E97" s="102"/>
    </row>
    <row r="98" spans="3:5" s="100" customFormat="1" ht="12.75">
      <c r="C98" s="102"/>
      <c r="D98" s="79"/>
      <c r="E98" s="102"/>
    </row>
    <row r="99" spans="3:5" s="100" customFormat="1" ht="12.75">
      <c r="C99" s="102"/>
      <c r="D99" s="79"/>
      <c r="E99" s="102"/>
    </row>
    <row r="100" spans="3:5" s="100" customFormat="1" ht="12.75">
      <c r="C100" s="102"/>
      <c r="D100" s="79"/>
      <c r="E100" s="102"/>
    </row>
    <row r="101" spans="3:5" s="100" customFormat="1" ht="12.75">
      <c r="C101" s="102"/>
      <c r="D101" s="79"/>
      <c r="E101" s="102"/>
    </row>
    <row r="102" spans="3:5" s="100" customFormat="1" ht="12.75">
      <c r="C102" s="102"/>
      <c r="D102" s="79"/>
      <c r="E102" s="102"/>
    </row>
    <row r="103" spans="3:5" s="100" customFormat="1" ht="12.75">
      <c r="C103" s="102"/>
      <c r="D103" s="79"/>
      <c r="E103" s="102"/>
    </row>
    <row r="104" spans="3:5" s="100" customFormat="1" ht="12.75">
      <c r="C104" s="102"/>
      <c r="D104" s="79"/>
      <c r="E104" s="102"/>
    </row>
    <row r="105" spans="3:5" s="100" customFormat="1" ht="12.75">
      <c r="C105" s="102"/>
      <c r="D105" s="79"/>
      <c r="E105" s="102"/>
    </row>
    <row r="106" spans="3:5" s="100" customFormat="1" ht="12.75">
      <c r="C106" s="102"/>
      <c r="D106" s="79"/>
      <c r="E106" s="102"/>
    </row>
    <row r="107" spans="3:5" s="100" customFormat="1" ht="12.75">
      <c r="C107" s="102"/>
      <c r="D107" s="79"/>
      <c r="E107" s="102"/>
    </row>
    <row r="108" spans="3:5" s="100" customFormat="1" ht="12.75">
      <c r="C108" s="102"/>
      <c r="D108" s="79"/>
      <c r="E108" s="102"/>
    </row>
    <row r="109" spans="3:5" s="100" customFormat="1" ht="12.75">
      <c r="C109" s="102"/>
      <c r="D109" s="79"/>
      <c r="E109" s="102"/>
    </row>
    <row r="110" spans="3:5" s="100" customFormat="1" ht="12.75">
      <c r="C110" s="102"/>
      <c r="D110" s="79"/>
      <c r="E110" s="102"/>
    </row>
    <row r="111" spans="3:5" s="100" customFormat="1" ht="12.75">
      <c r="C111" s="102"/>
      <c r="D111" s="79"/>
      <c r="E111" s="102"/>
    </row>
    <row r="112" spans="3:5" s="100" customFormat="1" ht="12.75">
      <c r="C112" s="102"/>
      <c r="D112" s="79"/>
      <c r="E112" s="102"/>
    </row>
  </sheetData>
  <sheetProtection/>
  <mergeCells count="4">
    <mergeCell ref="A12:B12"/>
    <mergeCell ref="A35:B35"/>
    <mergeCell ref="A50:B50"/>
    <mergeCell ref="A70:B70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Narrow,Normal"&amp;8Tribunal de Cuentas
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G98" sqref="G98"/>
    </sheetView>
  </sheetViews>
  <sheetFormatPr defaultColWidth="11.421875" defaultRowHeight="12.75"/>
  <cols>
    <col min="1" max="1" width="9.7109375" style="68" customWidth="1"/>
    <col min="2" max="2" width="46.00390625" style="68" customWidth="1"/>
    <col min="3" max="3" width="12.7109375" style="94" customWidth="1"/>
    <col min="4" max="4" width="10.7109375" style="94" customWidth="1"/>
    <col min="5" max="5" width="13.7109375" style="94" customWidth="1"/>
    <col min="6" max="16384" width="11.421875" style="68" customWidth="1"/>
  </cols>
  <sheetData>
    <row r="1" ht="12.75">
      <c r="A1" s="630" t="s">
        <v>1100</v>
      </c>
    </row>
    <row r="2" ht="12.75">
      <c r="A2" s="630"/>
    </row>
    <row r="3" ht="13.5" thickBot="1"/>
    <row r="4" spans="1:5" ht="12.75">
      <c r="A4" s="72" t="s">
        <v>1101</v>
      </c>
      <c r="B4" s="73"/>
      <c r="C4" s="74"/>
      <c r="D4" s="75" t="s">
        <v>6</v>
      </c>
      <c r="E4" s="76" t="s">
        <v>1102</v>
      </c>
    </row>
    <row r="5" spans="1:5" ht="13.5" thickBot="1">
      <c r="A5" s="81"/>
      <c r="B5" s="82"/>
      <c r="C5" s="83"/>
      <c r="D5" s="174"/>
      <c r="E5" s="173"/>
    </row>
    <row r="6" spans="1:5" s="631" customFormat="1" ht="13.5">
      <c r="A6" s="77" t="s">
        <v>1103</v>
      </c>
      <c r="B6" s="86"/>
      <c r="C6" s="87"/>
      <c r="D6" s="87"/>
      <c r="E6" s="88"/>
    </row>
    <row r="7" spans="1:5" s="631" customFormat="1" ht="13.5">
      <c r="A7" s="721" t="s">
        <v>1104</v>
      </c>
      <c r="B7" s="86"/>
      <c r="C7" s="87"/>
      <c r="D7" s="87"/>
      <c r="E7" s="88"/>
    </row>
    <row r="8" spans="1:5" s="631" customFormat="1" ht="13.5">
      <c r="A8" s="77" t="s">
        <v>1105</v>
      </c>
      <c r="B8" s="86"/>
      <c r="C8" s="87"/>
      <c r="D8" s="87"/>
      <c r="E8" s="88"/>
    </row>
    <row r="9" spans="1:5" s="631" customFormat="1" ht="13.5">
      <c r="A9" s="721" t="s">
        <v>1106</v>
      </c>
      <c r="B9" s="86"/>
      <c r="C9" s="87"/>
      <c r="D9" s="87"/>
      <c r="E9" s="88"/>
    </row>
    <row r="10" spans="1:5" s="631" customFormat="1" ht="13.5">
      <c r="A10" s="77" t="s">
        <v>1107</v>
      </c>
      <c r="B10" s="86"/>
      <c r="C10" s="87"/>
      <c r="D10" s="87"/>
      <c r="E10" s="88"/>
    </row>
    <row r="11" spans="1:5" s="631" customFormat="1" ht="13.5">
      <c r="A11" s="721" t="s">
        <v>1108</v>
      </c>
      <c r="B11" s="86"/>
      <c r="C11" s="87"/>
      <c r="D11" s="87"/>
      <c r="E11" s="88"/>
    </row>
    <row r="12" spans="1:5" s="631" customFormat="1" ht="14.25" thickBot="1">
      <c r="A12" s="81" t="s">
        <v>1109</v>
      </c>
      <c r="B12" s="237"/>
      <c r="C12" s="236"/>
      <c r="D12" s="236"/>
      <c r="E12" s="235"/>
    </row>
    <row r="13" spans="1:5" s="631" customFormat="1" ht="13.5">
      <c r="A13" s="85" t="s">
        <v>1365</v>
      </c>
      <c r="B13" s="86"/>
      <c r="C13" s="87"/>
      <c r="D13" s="87"/>
      <c r="E13" s="88"/>
    </row>
    <row r="14" spans="1:5" s="631" customFormat="1" ht="13.5">
      <c r="A14" s="85" t="s">
        <v>1110</v>
      </c>
      <c r="B14" s="86"/>
      <c r="C14" s="87"/>
      <c r="D14" s="87"/>
      <c r="E14" s="88"/>
    </row>
    <row r="15" spans="1:5" s="631" customFormat="1" ht="13.5">
      <c r="A15" s="85" t="s">
        <v>1431</v>
      </c>
      <c r="B15" s="86"/>
      <c r="C15" s="87"/>
      <c r="D15" s="87"/>
      <c r="E15" s="88"/>
    </row>
    <row r="16" spans="1:5" s="631" customFormat="1" ht="14.25" thickBot="1">
      <c r="A16" s="85" t="s">
        <v>16</v>
      </c>
      <c r="B16" s="86"/>
      <c r="C16" s="87"/>
      <c r="D16" s="87"/>
      <c r="E16" s="88"/>
    </row>
    <row r="17" spans="1:6" s="631" customFormat="1" ht="14.25" thickBot="1">
      <c r="A17" s="89" t="s">
        <v>17</v>
      </c>
      <c r="B17" s="90"/>
      <c r="C17" s="91"/>
      <c r="D17" s="92"/>
      <c r="E17" s="93">
        <f>C19+C42+C56+C81</f>
        <v>3104492</v>
      </c>
      <c r="F17" s="823"/>
    </row>
    <row r="18" spans="1:5" s="318" customFormat="1" ht="14.25" thickBot="1">
      <c r="A18" s="95"/>
      <c r="B18" s="95"/>
      <c r="C18" s="96"/>
      <c r="D18" s="96"/>
      <c r="E18" s="96"/>
    </row>
    <row r="19" spans="1:5" s="318" customFormat="1" ht="14.25" thickBot="1">
      <c r="A19" s="961" t="s">
        <v>1</v>
      </c>
      <c r="B19" s="962"/>
      <c r="C19" s="259">
        <f>C20+C27+C34</f>
        <v>2243742</v>
      </c>
      <c r="D19" s="96"/>
      <c r="E19" s="258"/>
    </row>
    <row r="20" spans="1:6" s="57" customFormat="1" ht="12.75" customHeight="1">
      <c r="A20" s="12" t="s">
        <v>107</v>
      </c>
      <c r="B20" s="286" t="s">
        <v>108</v>
      </c>
      <c r="C20" s="33">
        <f>SUM(C21:C26)</f>
        <v>6</v>
      </c>
      <c r="D20" s="23"/>
      <c r="E20" s="25"/>
      <c r="F20" s="135"/>
    </row>
    <row r="21" spans="1:6" s="9" customFormat="1" ht="12.75" customHeight="1" hidden="1">
      <c r="A21" s="13" t="s">
        <v>27</v>
      </c>
      <c r="B21" s="25" t="s">
        <v>24</v>
      </c>
      <c r="C21" s="821">
        <v>1</v>
      </c>
      <c r="D21" s="23"/>
      <c r="E21" s="26"/>
      <c r="F21" s="132"/>
    </row>
    <row r="22" spans="1:6" s="9" customFormat="1" ht="12.75" customHeight="1" hidden="1">
      <c r="A22" s="13" t="s">
        <v>28</v>
      </c>
      <c r="B22" s="25" t="s">
        <v>26</v>
      </c>
      <c r="C22" s="821">
        <v>1</v>
      </c>
      <c r="D22" s="23"/>
      <c r="E22" s="26"/>
      <c r="F22" s="132"/>
    </row>
    <row r="23" spans="1:6" s="10" customFormat="1" ht="12.75" customHeight="1" hidden="1">
      <c r="A23" s="13" t="s">
        <v>29</v>
      </c>
      <c r="B23" s="25" t="s">
        <v>86</v>
      </c>
      <c r="C23" s="821">
        <v>1</v>
      </c>
      <c r="D23" s="23"/>
      <c r="E23" s="26"/>
      <c r="F23" s="132"/>
    </row>
    <row r="24" spans="1:6" s="10" customFormat="1" ht="12.75" customHeight="1" hidden="1">
      <c r="A24" s="13" t="s">
        <v>30</v>
      </c>
      <c r="B24" s="25" t="s">
        <v>87</v>
      </c>
      <c r="C24" s="821">
        <v>1</v>
      </c>
      <c r="D24" s="23"/>
      <c r="E24" s="26"/>
      <c r="F24" s="132"/>
    </row>
    <row r="25" spans="1:6" s="10" customFormat="1" ht="12.75" customHeight="1" hidden="1">
      <c r="A25" s="13" t="s">
        <v>31</v>
      </c>
      <c r="B25" s="25" t="s">
        <v>25</v>
      </c>
      <c r="C25" s="821">
        <v>1</v>
      </c>
      <c r="D25" s="23"/>
      <c r="E25" s="26"/>
      <c r="F25" s="132"/>
    </row>
    <row r="26" spans="1:6" s="10" customFormat="1" ht="12.75" customHeight="1" hidden="1">
      <c r="A26" s="13" t="s">
        <v>32</v>
      </c>
      <c r="B26" s="25" t="s">
        <v>23</v>
      </c>
      <c r="C26" s="821">
        <v>1</v>
      </c>
      <c r="D26" s="23"/>
      <c r="E26" s="26"/>
      <c r="F26" s="132"/>
    </row>
    <row r="27" spans="1:6" s="10" customFormat="1" ht="12.75" customHeight="1">
      <c r="A27" s="12" t="s">
        <v>109</v>
      </c>
      <c r="B27" s="33" t="s">
        <v>110</v>
      </c>
      <c r="C27" s="33">
        <f>SUM(C28:C33)</f>
        <v>1959411</v>
      </c>
      <c r="D27" s="23"/>
      <c r="E27" s="26"/>
      <c r="F27" s="132"/>
    </row>
    <row r="28" spans="1:6" s="10" customFormat="1" ht="12.75" customHeight="1" hidden="1">
      <c r="A28" s="13" t="s">
        <v>34</v>
      </c>
      <c r="B28" s="25" t="s">
        <v>88</v>
      </c>
      <c r="C28" s="821">
        <f>1214788+294107</f>
        <v>1508895</v>
      </c>
      <c r="D28" s="23"/>
      <c r="E28" s="26"/>
      <c r="F28" s="133"/>
    </row>
    <row r="29" spans="1:8" s="9" customFormat="1" ht="12.75" customHeight="1" hidden="1">
      <c r="A29" s="13" t="s">
        <v>35</v>
      </c>
      <c r="B29" s="25" t="s">
        <v>89</v>
      </c>
      <c r="C29" s="821">
        <f>242958+54666+58821+13235</f>
        <v>369680</v>
      </c>
      <c r="D29" s="26"/>
      <c r="F29" s="70"/>
      <c r="G29" s="57"/>
      <c r="H29" s="57"/>
    </row>
    <row r="30" spans="1:6" s="9" customFormat="1" ht="12.75" customHeight="1" hidden="1">
      <c r="A30" s="13" t="s">
        <v>36</v>
      </c>
      <c r="B30" s="25" t="s">
        <v>90</v>
      </c>
      <c r="C30" s="821">
        <f>25000+50558+275+5000</f>
        <v>80833</v>
      </c>
      <c r="D30" s="26"/>
      <c r="F30" s="132"/>
    </row>
    <row r="31" spans="1:6" s="10" customFormat="1" ht="12.75" customHeight="1" hidden="1">
      <c r="A31" s="13" t="s">
        <v>37</v>
      </c>
      <c r="B31" s="25" t="s">
        <v>91</v>
      </c>
      <c r="C31" s="821">
        <v>1</v>
      </c>
      <c r="D31" s="26"/>
      <c r="F31" s="132" t="s">
        <v>224</v>
      </c>
    </row>
    <row r="32" spans="1:6" s="10" customFormat="1" ht="12.75" customHeight="1" hidden="1">
      <c r="A32" s="13" t="s">
        <v>38</v>
      </c>
      <c r="B32" s="25" t="s">
        <v>33</v>
      </c>
      <c r="C32" s="821">
        <v>1</v>
      </c>
      <c r="D32" s="26"/>
      <c r="F32" s="132"/>
    </row>
    <row r="33" spans="1:6" s="10" customFormat="1" ht="12.75" customHeight="1" hidden="1">
      <c r="A33" s="13" t="s">
        <v>93</v>
      </c>
      <c r="B33" s="25" t="s">
        <v>92</v>
      </c>
      <c r="C33" s="821">
        <v>1</v>
      </c>
      <c r="F33" s="133"/>
    </row>
    <row r="34" spans="1:6" s="10" customFormat="1" ht="12.75" customHeight="1">
      <c r="A34" s="12" t="s">
        <v>111</v>
      </c>
      <c r="B34" s="33" t="s">
        <v>112</v>
      </c>
      <c r="C34" s="33">
        <f>SUM(C35:C40)</f>
        <v>284325</v>
      </c>
      <c r="F34" s="133"/>
    </row>
    <row r="35" spans="1:6" s="9" customFormat="1" ht="12.75" customHeight="1" hidden="1">
      <c r="A35" s="13" t="s">
        <v>43</v>
      </c>
      <c r="B35" s="25" t="s">
        <v>39</v>
      </c>
      <c r="C35" s="821">
        <f>117388+107925</f>
        <v>225313</v>
      </c>
      <c r="F35" s="26"/>
    </row>
    <row r="36" spans="1:6" s="9" customFormat="1" ht="12.75" customHeight="1" hidden="1">
      <c r="A36" s="13" t="s">
        <v>44</v>
      </c>
      <c r="B36" s="25" t="s">
        <v>41</v>
      </c>
      <c r="C36" s="821">
        <f>21138+4756+21585+4857</f>
        <v>52336</v>
      </c>
      <c r="F36" s="26"/>
    </row>
    <row r="37" spans="1:6" s="10" customFormat="1" ht="12.75" customHeight="1" hidden="1">
      <c r="A37" s="13" t="s">
        <v>45</v>
      </c>
      <c r="B37" s="25" t="s">
        <v>94</v>
      </c>
      <c r="C37" s="821">
        <f>4898+275+1500</f>
        <v>6673</v>
      </c>
      <c r="F37" s="26" t="s">
        <v>1172</v>
      </c>
    </row>
    <row r="38" spans="1:6" s="10" customFormat="1" ht="12.75" customHeight="1" hidden="1">
      <c r="A38" s="13" t="s">
        <v>46</v>
      </c>
      <c r="B38" s="25" t="s">
        <v>95</v>
      </c>
      <c r="C38" s="821">
        <v>1</v>
      </c>
      <c r="E38" s="26"/>
      <c r="F38" s="26" t="s">
        <v>1173</v>
      </c>
    </row>
    <row r="39" spans="1:6" s="10" customFormat="1" ht="12.75" customHeight="1" hidden="1">
      <c r="A39" s="13" t="s">
        <v>47</v>
      </c>
      <c r="B39" s="25" t="s">
        <v>40</v>
      </c>
      <c r="C39" s="821">
        <v>1</v>
      </c>
      <c r="E39" s="26"/>
      <c r="F39" s="26" t="s">
        <v>1183</v>
      </c>
    </row>
    <row r="40" spans="1:6" s="10" customFormat="1" ht="12.75" customHeight="1" hidden="1">
      <c r="A40" s="13" t="s">
        <v>48</v>
      </c>
      <c r="B40" s="25" t="s">
        <v>42</v>
      </c>
      <c r="C40" s="821">
        <v>1</v>
      </c>
      <c r="E40" s="26"/>
      <c r="F40" s="23"/>
    </row>
    <row r="41" spans="1:6" s="100" customFormat="1" ht="14.25" thickBot="1">
      <c r="A41" s="86"/>
      <c r="B41" s="105"/>
      <c r="C41" s="101"/>
      <c r="D41" s="102"/>
      <c r="E41" s="102"/>
      <c r="F41" s="23"/>
    </row>
    <row r="42" spans="1:6" s="100" customFormat="1" ht="14.25" thickBot="1">
      <c r="A42" s="955" t="s">
        <v>2</v>
      </c>
      <c r="B42" s="956"/>
      <c r="C42" s="97">
        <f>C43+C45+C48+C50+C52</f>
        <v>60400</v>
      </c>
      <c r="D42" s="102"/>
      <c r="E42" s="152"/>
      <c r="F42" s="23"/>
    </row>
    <row r="43" spans="1:5" s="323" customFormat="1" ht="13.5">
      <c r="A43" s="12" t="s">
        <v>113</v>
      </c>
      <c r="B43" s="286" t="s">
        <v>114</v>
      </c>
      <c r="C43" s="816">
        <f>SUM(C44)</f>
        <v>15000</v>
      </c>
      <c r="D43" s="135"/>
      <c r="E43" s="322"/>
    </row>
    <row r="44" spans="1:7" s="57" customFormat="1" ht="13.5" customHeight="1" hidden="1">
      <c r="A44" s="13" t="s">
        <v>50</v>
      </c>
      <c r="B44" s="9" t="s">
        <v>49</v>
      </c>
      <c r="C44" s="821">
        <f>6000+9000</f>
        <v>15000</v>
      </c>
      <c r="D44" s="23"/>
      <c r="E44" s="33"/>
      <c r="G44" s="71"/>
    </row>
    <row r="45" spans="1:7" s="57" customFormat="1" ht="13.5" customHeight="1">
      <c r="A45" s="12" t="s">
        <v>115</v>
      </c>
      <c r="B45" s="791" t="s">
        <v>116</v>
      </c>
      <c r="C45" s="33">
        <f>SUM(C46:C47)</f>
        <v>16000</v>
      </c>
      <c r="D45" s="23"/>
      <c r="E45" s="33"/>
      <c r="G45" s="71"/>
    </row>
    <row r="46" spans="1:7" s="57" customFormat="1" ht="13.5" customHeight="1" hidden="1">
      <c r="A46" s="13" t="s">
        <v>72</v>
      </c>
      <c r="B46" s="9" t="s">
        <v>73</v>
      </c>
      <c r="C46" s="821">
        <f>6200+5000</f>
        <v>11200</v>
      </c>
      <c r="D46" s="23"/>
      <c r="E46" s="33"/>
      <c r="G46" s="71"/>
    </row>
    <row r="47" spans="1:7" s="57" customFormat="1" ht="13.5" customHeight="1" hidden="1">
      <c r="A47" s="13" t="s">
        <v>96</v>
      </c>
      <c r="B47" s="9" t="s">
        <v>71</v>
      </c>
      <c r="C47" s="821">
        <v>4800</v>
      </c>
      <c r="D47" s="23"/>
      <c r="E47" s="33"/>
      <c r="G47" s="71"/>
    </row>
    <row r="48" spans="1:7" s="57" customFormat="1" ht="13.5" customHeight="1">
      <c r="A48" s="12" t="s">
        <v>117</v>
      </c>
      <c r="B48" s="791" t="s">
        <v>118</v>
      </c>
      <c r="C48" s="33">
        <f>SUM(C49)</f>
        <v>12900</v>
      </c>
      <c r="D48" s="23"/>
      <c r="E48" s="33"/>
      <c r="G48" s="71"/>
    </row>
    <row r="49" spans="1:8" s="9" customFormat="1" ht="13.5" customHeight="1" hidden="1">
      <c r="A49" s="13" t="s">
        <v>51</v>
      </c>
      <c r="B49" s="24" t="s">
        <v>52</v>
      </c>
      <c r="C49" s="821">
        <f>7900+5000</f>
        <v>12900</v>
      </c>
      <c r="D49" s="115"/>
      <c r="E49" s="26"/>
      <c r="F49" s="140"/>
      <c r="G49" s="71"/>
      <c r="H49" s="57"/>
    </row>
    <row r="50" spans="1:5" s="100" customFormat="1" ht="13.5">
      <c r="A50" s="353" t="s">
        <v>134</v>
      </c>
      <c r="B50" s="812" t="s">
        <v>133</v>
      </c>
      <c r="C50" s="96">
        <f>SUM(C51)</f>
        <v>6000</v>
      </c>
      <c r="D50" s="102"/>
      <c r="E50" s="102"/>
    </row>
    <row r="51" spans="1:5" s="100" customFormat="1" ht="13.5" hidden="1">
      <c r="A51" s="107" t="s">
        <v>103</v>
      </c>
      <c r="B51" s="24" t="s">
        <v>78</v>
      </c>
      <c r="C51" s="822">
        <f>3000+3000</f>
        <v>6000</v>
      </c>
      <c r="D51" s="102"/>
      <c r="E51" s="102"/>
    </row>
    <row r="52" spans="1:5" s="100" customFormat="1" ht="13.5">
      <c r="A52" s="353" t="s">
        <v>169</v>
      </c>
      <c r="B52" s="26" t="s">
        <v>135</v>
      </c>
      <c r="C52" s="96">
        <f>SUM(C53:C54)</f>
        <v>10500</v>
      </c>
      <c r="D52" s="102"/>
      <c r="E52" s="102"/>
    </row>
    <row r="53" spans="1:5" s="100" customFormat="1" ht="13.5" hidden="1">
      <c r="A53" s="107" t="s">
        <v>170</v>
      </c>
      <c r="B53" s="24" t="s">
        <v>70</v>
      </c>
      <c r="C53" s="822">
        <f>3800+3000</f>
        <v>6800</v>
      </c>
      <c r="D53" s="102"/>
      <c r="E53" s="102"/>
    </row>
    <row r="54" spans="1:8" s="9" customFormat="1" ht="13.5" customHeight="1" hidden="1">
      <c r="A54" s="107" t="s">
        <v>173</v>
      </c>
      <c r="B54" s="24" t="s">
        <v>135</v>
      </c>
      <c r="C54" s="821">
        <v>3700</v>
      </c>
      <c r="D54" s="115"/>
      <c r="E54" s="26"/>
      <c r="F54" s="286"/>
      <c r="G54" s="71"/>
      <c r="H54" s="109"/>
    </row>
    <row r="55" spans="1:5" s="100" customFormat="1" ht="14.25" thickBot="1">
      <c r="A55" s="105"/>
      <c r="B55" s="105"/>
      <c r="C55" s="101"/>
      <c r="D55" s="102"/>
      <c r="E55" s="102"/>
    </row>
    <row r="56" spans="1:5" s="100" customFormat="1" ht="14.25" thickBot="1">
      <c r="A56" s="957" t="s">
        <v>3</v>
      </c>
      <c r="B56" s="958"/>
      <c r="C56" s="98">
        <f>C57+C64+C67+C69+C71+C74+C76</f>
        <v>749900</v>
      </c>
      <c r="D56" s="102"/>
      <c r="E56" s="152"/>
    </row>
    <row r="57" spans="1:5" s="100" customFormat="1" ht="13.5">
      <c r="A57" s="353" t="s">
        <v>552</v>
      </c>
      <c r="B57" s="286" t="s">
        <v>553</v>
      </c>
      <c r="C57" s="816">
        <f>SUM(C58:C63)</f>
        <v>45200</v>
      </c>
      <c r="D57" s="102"/>
      <c r="E57" s="152"/>
    </row>
    <row r="58" spans="1:8" s="9" customFormat="1" ht="13.5" customHeight="1" hidden="1">
      <c r="A58" s="107" t="s">
        <v>554</v>
      </c>
      <c r="B58" s="86" t="s">
        <v>555</v>
      </c>
      <c r="C58" s="821">
        <f>3000+2000</f>
        <v>5000</v>
      </c>
      <c r="D58" s="115"/>
      <c r="F58" s="280"/>
      <c r="G58" s="71"/>
      <c r="H58" s="71"/>
    </row>
    <row r="59" spans="1:8" s="9" customFormat="1" ht="13.5" customHeight="1" hidden="1">
      <c r="A59" s="107" t="s">
        <v>556</v>
      </c>
      <c r="B59" s="86" t="s">
        <v>557</v>
      </c>
      <c r="C59" s="821">
        <f>2550+2000</f>
        <v>4550</v>
      </c>
      <c r="D59" s="115"/>
      <c r="E59" s="26"/>
      <c r="F59" s="280"/>
      <c r="G59" s="71"/>
      <c r="H59" s="71"/>
    </row>
    <row r="60" spans="1:10" s="9" customFormat="1" ht="13.5" customHeight="1" hidden="1">
      <c r="A60" s="107" t="s">
        <v>558</v>
      </c>
      <c r="B60" s="86" t="s">
        <v>559</v>
      </c>
      <c r="C60" s="821">
        <f>2500+2000</f>
        <v>4500</v>
      </c>
      <c r="D60" s="115"/>
      <c r="E60" s="26"/>
      <c r="F60" s="140"/>
      <c r="G60" s="71"/>
      <c r="H60" s="57"/>
      <c r="J60" s="123"/>
    </row>
    <row r="61" spans="1:9" s="9" customFormat="1" ht="13.5" customHeight="1" hidden="1">
      <c r="A61" s="107" t="s">
        <v>621</v>
      </c>
      <c r="B61" s="86" t="s">
        <v>1111</v>
      </c>
      <c r="C61" s="821">
        <f>5650+2000</f>
        <v>7650</v>
      </c>
      <c r="D61" s="115"/>
      <c r="E61" s="26"/>
      <c r="F61" s="140"/>
      <c r="G61" s="71"/>
      <c r="H61" s="57"/>
      <c r="I61" s="123"/>
    </row>
    <row r="62" spans="1:9" s="9" customFormat="1" ht="13.5" customHeight="1" hidden="1">
      <c r="A62" s="107" t="s">
        <v>560</v>
      </c>
      <c r="B62" s="86" t="s">
        <v>561</v>
      </c>
      <c r="C62" s="821">
        <f>18000+2000+500</f>
        <v>20500</v>
      </c>
      <c r="D62" s="115"/>
      <c r="E62" s="26"/>
      <c r="F62" s="140"/>
      <c r="G62" s="71"/>
      <c r="H62" s="57"/>
      <c r="I62" s="123"/>
    </row>
    <row r="63" spans="1:6" s="100" customFormat="1" ht="13.5" hidden="1">
      <c r="A63" s="107" t="s">
        <v>562</v>
      </c>
      <c r="B63" s="86" t="s">
        <v>563</v>
      </c>
      <c r="C63" s="822">
        <f>1000+2000</f>
        <v>3000</v>
      </c>
      <c r="D63" s="96"/>
      <c r="E63" s="79"/>
      <c r="F63" s="79"/>
    </row>
    <row r="64" spans="1:6" s="100" customFormat="1" ht="13.5">
      <c r="A64" s="353" t="s">
        <v>120</v>
      </c>
      <c r="B64" s="95" t="s">
        <v>121</v>
      </c>
      <c r="C64" s="96">
        <f>SUM(C65:C66)</f>
        <v>162000</v>
      </c>
      <c r="D64" s="96"/>
      <c r="E64" s="79"/>
      <c r="F64" s="79"/>
    </row>
    <row r="65" spans="1:9" s="9" customFormat="1" ht="13.5" customHeight="1" hidden="1">
      <c r="A65" s="107" t="s">
        <v>179</v>
      </c>
      <c r="B65" s="86" t="s">
        <v>178</v>
      </c>
      <c r="C65" s="821">
        <f>144000+6000</f>
        <v>150000</v>
      </c>
      <c r="D65" s="115"/>
      <c r="E65" s="26"/>
      <c r="F65" s="140"/>
      <c r="G65" s="71"/>
      <c r="H65" s="57"/>
      <c r="I65" s="123"/>
    </row>
    <row r="66" spans="1:8" s="9" customFormat="1" ht="13.5" customHeight="1" hidden="1">
      <c r="A66" s="107" t="s">
        <v>57</v>
      </c>
      <c r="B66" s="24" t="s">
        <v>18</v>
      </c>
      <c r="C66" s="821">
        <f>6000+6000</f>
        <v>12000</v>
      </c>
      <c r="D66" s="115"/>
      <c r="E66" s="26"/>
      <c r="F66" s="280"/>
      <c r="G66" s="71"/>
      <c r="H66" s="71"/>
    </row>
    <row r="67" spans="1:8" s="9" customFormat="1" ht="13.5" customHeight="1">
      <c r="A67" s="95" t="s">
        <v>130</v>
      </c>
      <c r="B67" s="26" t="s">
        <v>131</v>
      </c>
      <c r="C67" s="33">
        <f>SUM(C68)</f>
        <v>8100</v>
      </c>
      <c r="D67" s="115"/>
      <c r="E67" s="26"/>
      <c r="F67" s="280"/>
      <c r="G67" s="71"/>
      <c r="H67" s="71"/>
    </row>
    <row r="68" spans="1:8" s="9" customFormat="1" ht="13.5" customHeight="1" hidden="1">
      <c r="A68" s="86" t="s">
        <v>148</v>
      </c>
      <c r="B68" s="86" t="s">
        <v>77</v>
      </c>
      <c r="C68" s="821">
        <f>6100+2000</f>
        <v>8100</v>
      </c>
      <c r="D68" s="115"/>
      <c r="E68" s="26"/>
      <c r="F68" s="280"/>
      <c r="G68" s="71"/>
      <c r="H68" s="71"/>
    </row>
    <row r="69" spans="1:8" s="9" customFormat="1" ht="13.5" customHeight="1">
      <c r="A69" s="353" t="s">
        <v>122</v>
      </c>
      <c r="B69" s="95" t="s">
        <v>175</v>
      </c>
      <c r="C69" s="33">
        <f>SUM(C70)</f>
        <v>281800</v>
      </c>
      <c r="D69" s="115"/>
      <c r="E69" s="26"/>
      <c r="F69" s="280"/>
      <c r="G69" s="71"/>
      <c r="H69" s="71"/>
    </row>
    <row r="70" spans="1:10" s="9" customFormat="1" ht="13.5" customHeight="1" hidden="1">
      <c r="A70" s="107" t="s">
        <v>53</v>
      </c>
      <c r="B70" s="25" t="s">
        <v>97</v>
      </c>
      <c r="C70" s="821">
        <f>271800+10000</f>
        <v>281800</v>
      </c>
      <c r="D70" s="24"/>
      <c r="F70" s="140"/>
      <c r="G70" s="71"/>
      <c r="H70" s="57"/>
      <c r="J70" s="123"/>
    </row>
    <row r="71" spans="1:10" s="9" customFormat="1" ht="13.5" customHeight="1">
      <c r="A71" s="353" t="s">
        <v>123</v>
      </c>
      <c r="B71" s="33" t="s">
        <v>124</v>
      </c>
      <c r="C71" s="33">
        <f>SUM(C72:C73)</f>
        <v>12000</v>
      </c>
      <c r="D71" s="24"/>
      <c r="F71" s="140"/>
      <c r="G71" s="71"/>
      <c r="H71" s="57"/>
      <c r="J71" s="123"/>
    </row>
    <row r="72" spans="1:9" s="9" customFormat="1" ht="13.5" customHeight="1" hidden="1">
      <c r="A72" s="107" t="s">
        <v>84</v>
      </c>
      <c r="B72" s="25" t="s">
        <v>79</v>
      </c>
      <c r="C72" s="821">
        <f>3000+1000</f>
        <v>4000</v>
      </c>
      <c r="D72" s="26"/>
      <c r="F72" s="140"/>
      <c r="G72" s="71"/>
      <c r="H72" s="57"/>
      <c r="I72" s="123"/>
    </row>
    <row r="73" spans="1:8" s="9" customFormat="1" ht="13.5" customHeight="1" hidden="1">
      <c r="A73" s="107" t="s">
        <v>98</v>
      </c>
      <c r="B73" s="25" t="s">
        <v>69</v>
      </c>
      <c r="C73" s="821">
        <f>6000+2000</f>
        <v>8000</v>
      </c>
      <c r="D73" s="26"/>
      <c r="F73" s="140"/>
      <c r="G73" s="71"/>
      <c r="H73" s="57"/>
    </row>
    <row r="74" spans="1:8" s="9" customFormat="1" ht="13.5" customHeight="1">
      <c r="A74" s="813" t="s">
        <v>143</v>
      </c>
      <c r="B74" s="95" t="s">
        <v>61</v>
      </c>
      <c r="C74" s="33">
        <f>SUM(C75)</f>
        <v>25000</v>
      </c>
      <c r="D74" s="26"/>
      <c r="F74" s="140"/>
      <c r="G74" s="71"/>
      <c r="H74" s="57"/>
    </row>
    <row r="75" spans="1:4" s="78" customFormat="1" ht="13.5" hidden="1">
      <c r="A75" s="105" t="s">
        <v>60</v>
      </c>
      <c r="B75" s="86" t="s">
        <v>61</v>
      </c>
      <c r="C75" s="822">
        <f>24000+1000</f>
        <v>25000</v>
      </c>
      <c r="D75" s="79"/>
    </row>
    <row r="76" spans="1:4" s="78" customFormat="1" ht="13.5">
      <c r="A76" s="353" t="s">
        <v>125</v>
      </c>
      <c r="B76" s="33" t="s">
        <v>8</v>
      </c>
      <c r="C76" s="96">
        <f>SUM(C77:C79)</f>
        <v>215800</v>
      </c>
      <c r="D76" s="79"/>
    </row>
    <row r="77" spans="1:4" s="100" customFormat="1" ht="13.5" hidden="1">
      <c r="A77" s="107" t="s">
        <v>102</v>
      </c>
      <c r="B77" s="25" t="s">
        <v>8</v>
      </c>
      <c r="C77" s="822">
        <f>178800+10000</f>
        <v>188800</v>
      </c>
      <c r="D77" s="102"/>
    </row>
    <row r="78" spans="1:5" s="100" customFormat="1" ht="13.5" hidden="1">
      <c r="A78" s="107" t="s">
        <v>104</v>
      </c>
      <c r="B78" s="25" t="s">
        <v>54</v>
      </c>
      <c r="C78" s="822">
        <v>18000</v>
      </c>
      <c r="D78" s="102"/>
      <c r="E78" s="102"/>
    </row>
    <row r="79" spans="1:5" s="100" customFormat="1" ht="13.5" hidden="1">
      <c r="A79" s="107" t="s">
        <v>100</v>
      </c>
      <c r="B79" s="25" t="s">
        <v>7</v>
      </c>
      <c r="C79" s="822">
        <v>9000</v>
      </c>
      <c r="D79" s="102"/>
      <c r="E79" s="102"/>
    </row>
    <row r="80" spans="1:5" s="100" customFormat="1" ht="14.25" thickBot="1">
      <c r="A80" s="105"/>
      <c r="B80" s="105"/>
      <c r="C80" s="101"/>
      <c r="D80" s="102"/>
      <c r="E80" s="102"/>
    </row>
    <row r="81" spans="1:5" s="100" customFormat="1" ht="14.25" thickBot="1">
      <c r="A81" s="959" t="s">
        <v>4</v>
      </c>
      <c r="B81" s="960"/>
      <c r="C81" s="103">
        <f>C82+C84+C86</f>
        <v>50450</v>
      </c>
      <c r="D81" s="102"/>
      <c r="E81" s="152"/>
    </row>
    <row r="82" spans="1:5" s="323" customFormat="1" ht="13.5">
      <c r="A82" s="353" t="s">
        <v>126</v>
      </c>
      <c r="B82" s="286" t="s">
        <v>127</v>
      </c>
      <c r="C82" s="816">
        <f>SUM(C83)</f>
        <v>20200</v>
      </c>
      <c r="D82" s="135"/>
      <c r="E82" s="322"/>
    </row>
    <row r="83" spans="1:5" s="100" customFormat="1" ht="13.5" hidden="1">
      <c r="A83" s="107" t="s">
        <v>101</v>
      </c>
      <c r="B83" s="105" t="s">
        <v>152</v>
      </c>
      <c r="C83" s="822">
        <f>10200+10000</f>
        <v>20200</v>
      </c>
      <c r="D83" s="102"/>
      <c r="E83" s="102"/>
    </row>
    <row r="84" spans="1:5" s="100" customFormat="1" ht="13.5">
      <c r="A84" s="813" t="s">
        <v>142</v>
      </c>
      <c r="B84" s="813" t="s">
        <v>371</v>
      </c>
      <c r="C84" s="811">
        <f>SUM(C85)</f>
        <v>25000</v>
      </c>
      <c r="D84" s="102"/>
      <c r="E84" s="102"/>
    </row>
    <row r="85" spans="1:5" s="100" customFormat="1" ht="13.5" hidden="1">
      <c r="A85" s="105" t="s">
        <v>185</v>
      </c>
      <c r="B85" s="105" t="s">
        <v>371</v>
      </c>
      <c r="C85" s="822">
        <f>12500+12500</f>
        <v>25000</v>
      </c>
      <c r="D85" s="102"/>
      <c r="E85" s="102"/>
    </row>
    <row r="86" spans="1:5" s="100" customFormat="1" ht="13.5">
      <c r="A86" s="353" t="s">
        <v>188</v>
      </c>
      <c r="B86" s="26" t="s">
        <v>145</v>
      </c>
      <c r="C86" s="811">
        <f>SUM(C87)</f>
        <v>5250</v>
      </c>
      <c r="D86" s="102"/>
      <c r="E86" s="102"/>
    </row>
    <row r="87" spans="1:6" s="9" customFormat="1" ht="13.5" customHeight="1" hidden="1">
      <c r="A87" s="107" t="s">
        <v>189</v>
      </c>
      <c r="B87" s="24" t="s">
        <v>56</v>
      </c>
      <c r="C87" s="821">
        <f>3250+2000</f>
        <v>5250</v>
      </c>
      <c r="D87" s="315"/>
      <c r="E87" s="10"/>
      <c r="F87" s="280"/>
    </row>
    <row r="88" spans="1:5" s="100" customFormat="1" ht="13.5">
      <c r="A88" s="105"/>
      <c r="B88" s="105"/>
      <c r="C88" s="101"/>
      <c r="D88" s="102"/>
      <c r="E88" s="102"/>
    </row>
    <row r="89" spans="3:5" s="100" customFormat="1" ht="12.75">
      <c r="C89" s="102"/>
      <c r="D89" s="102"/>
      <c r="E89" s="102"/>
    </row>
    <row r="90" spans="3:5" s="100" customFormat="1" ht="12.75">
      <c r="C90" s="102"/>
      <c r="D90" s="102"/>
      <c r="E90" s="102"/>
    </row>
  </sheetData>
  <sheetProtection/>
  <mergeCells count="4">
    <mergeCell ref="A19:B19"/>
    <mergeCell ref="A42:B42"/>
    <mergeCell ref="A56:B56"/>
    <mergeCell ref="A81:B81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Narrow,Normal"&amp;8Auditoria General
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2" sqref="I22"/>
    </sheetView>
  </sheetViews>
  <sheetFormatPr defaultColWidth="11.28125" defaultRowHeight="12.75"/>
  <cols>
    <col min="1" max="1" width="9.7109375" style="3" customWidth="1"/>
    <col min="2" max="2" width="46.7109375" style="3" customWidth="1"/>
    <col min="3" max="3" width="12.7109375" style="19" customWidth="1"/>
    <col min="4" max="4" width="10.7109375" style="19" customWidth="1"/>
    <col min="5" max="5" width="13.7109375" style="19" customWidth="1"/>
    <col min="6" max="16384" width="11.28125" style="3" customWidth="1"/>
  </cols>
  <sheetData>
    <row r="1" ht="12.75">
      <c r="A1" s="110" t="s">
        <v>1091</v>
      </c>
    </row>
    <row r="2" ht="12.75">
      <c r="A2" s="110"/>
    </row>
    <row r="3" ht="13.5" thickBot="1"/>
    <row r="4" spans="1:5" s="11" customFormat="1" ht="13.5">
      <c r="A4" s="64" t="s">
        <v>1092</v>
      </c>
      <c r="B4" s="221"/>
      <c r="C4" s="65"/>
      <c r="D4" s="67" t="s">
        <v>6</v>
      </c>
      <c r="E4" s="516" t="s">
        <v>1093</v>
      </c>
    </row>
    <row r="5" spans="1:5" s="11" customFormat="1" ht="14.25" thickBot="1">
      <c r="A5" s="49"/>
      <c r="B5" s="205"/>
      <c r="C5" s="119"/>
      <c r="D5" s="121"/>
      <c r="E5" s="517"/>
    </row>
    <row r="6" spans="1:5" s="11" customFormat="1" ht="13.5">
      <c r="A6" s="45" t="s">
        <v>1094</v>
      </c>
      <c r="B6" s="208"/>
      <c r="C6" s="172"/>
      <c r="D6" s="577"/>
      <c r="E6" s="542"/>
    </row>
    <row r="7" spans="1:5" s="11" customFormat="1" ht="13.5">
      <c r="A7" s="45" t="s">
        <v>1095</v>
      </c>
      <c r="B7" s="208"/>
      <c r="C7" s="172"/>
      <c r="D7" s="577"/>
      <c r="E7" s="542"/>
    </row>
    <row r="8" spans="1:5" s="11" customFormat="1" ht="14.25" thickBot="1">
      <c r="A8" s="49" t="s">
        <v>1096</v>
      </c>
      <c r="B8" s="205"/>
      <c r="C8" s="119"/>
      <c r="D8" s="136"/>
      <c r="E8" s="517"/>
    </row>
    <row r="9" spans="1:5" s="11" customFormat="1" ht="13.5">
      <c r="A9" s="169" t="s">
        <v>1365</v>
      </c>
      <c r="B9" s="245"/>
      <c r="C9" s="601"/>
      <c r="D9" s="601"/>
      <c r="E9" s="603"/>
    </row>
    <row r="10" spans="1:5" s="11" customFormat="1" ht="13.5">
      <c r="A10" s="52" t="s">
        <v>1097</v>
      </c>
      <c r="B10" s="13"/>
      <c r="C10" s="25"/>
      <c r="D10" s="25"/>
      <c r="E10" s="453"/>
    </row>
    <row r="11" spans="1:5" s="11" customFormat="1" ht="13.5">
      <c r="A11" s="52" t="s">
        <v>1421</v>
      </c>
      <c r="B11" s="13"/>
      <c r="C11" s="25"/>
      <c r="D11" s="25"/>
      <c r="E11" s="453"/>
    </row>
    <row r="12" spans="1:5" s="11" customFormat="1" ht="14.25" thickBot="1">
      <c r="A12" s="111" t="s">
        <v>16</v>
      </c>
      <c r="B12" s="196"/>
      <c r="C12" s="556"/>
      <c r="D12" s="556"/>
      <c r="E12" s="557"/>
    </row>
    <row r="13" spans="1:5" s="11" customFormat="1" ht="14.25" thickBot="1">
      <c r="A13" s="54" t="s">
        <v>17</v>
      </c>
      <c r="B13" s="192"/>
      <c r="C13" s="55"/>
      <c r="D13" s="191"/>
      <c r="E13" s="161">
        <f>C15+C21+C27</f>
        <v>34500</v>
      </c>
    </row>
    <row r="14" ht="13.5" thickBot="1"/>
    <row r="15" spans="1:5" ht="14.25" thickBot="1">
      <c r="A15" s="947" t="s">
        <v>2</v>
      </c>
      <c r="B15" s="948"/>
      <c r="C15" s="38">
        <f>C16+C18</f>
        <v>7400</v>
      </c>
      <c r="E15" s="559"/>
    </row>
    <row r="16" spans="1:7" s="13" customFormat="1" ht="13.5" customHeight="1">
      <c r="A16" s="12" t="s">
        <v>117</v>
      </c>
      <c r="B16" s="353" t="s">
        <v>118</v>
      </c>
      <c r="C16" s="33">
        <f>SUM(C17)</f>
        <v>4550</v>
      </c>
      <c r="D16" s="23"/>
      <c r="E16" s="33"/>
      <c r="G16" s="25"/>
    </row>
    <row r="17" spans="1:8" s="107" customFormat="1" ht="13.5" customHeight="1" hidden="1">
      <c r="A17" s="13" t="s">
        <v>51</v>
      </c>
      <c r="B17" s="24" t="s">
        <v>52</v>
      </c>
      <c r="C17" s="821">
        <v>4550</v>
      </c>
      <c r="D17" s="115"/>
      <c r="E17" s="26"/>
      <c r="F17" s="142"/>
      <c r="G17" s="25"/>
      <c r="H17" s="13"/>
    </row>
    <row r="18" spans="1:8" s="107" customFormat="1" ht="13.5" customHeight="1">
      <c r="A18" s="353" t="s">
        <v>1099</v>
      </c>
      <c r="B18" s="26" t="s">
        <v>135</v>
      </c>
      <c r="C18" s="26">
        <f>SUM(C19)</f>
        <v>2850</v>
      </c>
      <c r="D18" s="115"/>
      <c r="E18" s="26"/>
      <c r="F18" s="142"/>
      <c r="G18" s="25"/>
      <c r="H18" s="13"/>
    </row>
    <row r="19" spans="1:8" s="107" customFormat="1" ht="13.5" customHeight="1" hidden="1">
      <c r="A19" s="107" t="s">
        <v>173</v>
      </c>
      <c r="B19" s="24" t="s">
        <v>135</v>
      </c>
      <c r="C19" s="821">
        <v>2850</v>
      </c>
      <c r="D19" s="115"/>
      <c r="E19" s="26"/>
      <c r="F19" s="404"/>
      <c r="G19" s="25"/>
      <c r="H19" s="176"/>
    </row>
    <row r="20" spans="2:8" s="107" customFormat="1" ht="13.5" customHeight="1" thickBot="1">
      <c r="B20" s="24"/>
      <c r="C20" s="24"/>
      <c r="D20" s="115"/>
      <c r="E20" s="26"/>
      <c r="F20" s="404"/>
      <c r="G20" s="25"/>
      <c r="H20" s="176"/>
    </row>
    <row r="21" spans="1:5" s="5" customFormat="1" ht="14.25" thickBot="1">
      <c r="A21" s="949" t="s">
        <v>3</v>
      </c>
      <c r="B21" s="950"/>
      <c r="C21" s="36">
        <f>C22+C24</f>
        <v>13300</v>
      </c>
      <c r="D21" s="22"/>
      <c r="E21" s="22"/>
    </row>
    <row r="22" spans="1:5" s="529" customFormat="1" ht="13.5">
      <c r="A22" s="353" t="s">
        <v>552</v>
      </c>
      <c r="B22" s="404" t="s">
        <v>553</v>
      </c>
      <c r="C22" s="34">
        <f>SUM(C23)</f>
        <v>2350</v>
      </c>
      <c r="D22" s="321"/>
      <c r="E22" s="321"/>
    </row>
    <row r="23" spans="1:9" s="107" customFormat="1" ht="13.5" customHeight="1" hidden="1">
      <c r="A23" s="107" t="s">
        <v>560</v>
      </c>
      <c r="B23" s="13" t="s">
        <v>561</v>
      </c>
      <c r="C23" s="821">
        <v>2350</v>
      </c>
      <c r="D23" s="115"/>
      <c r="E23" s="26"/>
      <c r="F23" s="142"/>
      <c r="G23" s="25"/>
      <c r="H23" s="13"/>
      <c r="I23" s="24"/>
    </row>
    <row r="24" spans="1:6" s="208" customFormat="1" ht="13.5">
      <c r="A24" s="353" t="s">
        <v>125</v>
      </c>
      <c r="B24" s="33" t="s">
        <v>8</v>
      </c>
      <c r="C24" s="33">
        <f>SUM(C25)</f>
        <v>10950</v>
      </c>
      <c r="D24" s="25"/>
      <c r="E24" s="172"/>
      <c r="F24" s="172"/>
    </row>
    <row r="25" spans="1:6" s="5" customFormat="1" ht="13.5" hidden="1">
      <c r="A25" s="107" t="s">
        <v>99</v>
      </c>
      <c r="B25" s="25" t="s">
        <v>8</v>
      </c>
      <c r="C25" s="821">
        <v>10950</v>
      </c>
      <c r="D25" s="25"/>
      <c r="E25" s="172"/>
      <c r="F25" s="172"/>
    </row>
    <row r="26" spans="1:6" s="5" customFormat="1" ht="14.25" thickBot="1">
      <c r="A26" s="107"/>
      <c r="B26" s="25"/>
      <c r="C26" s="24"/>
      <c r="D26" s="25"/>
      <c r="E26" s="172"/>
      <c r="F26" s="172"/>
    </row>
    <row r="27" spans="1:5" s="5" customFormat="1" ht="14.25" thickBot="1">
      <c r="A27" s="951" t="s">
        <v>4</v>
      </c>
      <c r="B27" s="952"/>
      <c r="C27" s="32">
        <f>C28+C30</f>
        <v>13800</v>
      </c>
      <c r="D27" s="22"/>
      <c r="E27" s="22"/>
    </row>
    <row r="28" spans="1:5" s="529" customFormat="1" ht="13.5">
      <c r="A28" s="353" t="s">
        <v>126</v>
      </c>
      <c r="B28" s="404" t="s">
        <v>127</v>
      </c>
      <c r="C28" s="34">
        <f>SUM(C29)</f>
        <v>11150</v>
      </c>
      <c r="D28" s="321"/>
      <c r="E28" s="321"/>
    </row>
    <row r="29" spans="1:5" s="5" customFormat="1" ht="13.5" hidden="1">
      <c r="A29" s="107" t="s">
        <v>101</v>
      </c>
      <c r="B29" s="107" t="s">
        <v>152</v>
      </c>
      <c r="C29" s="821">
        <v>11150</v>
      </c>
      <c r="D29" s="22"/>
      <c r="E29" s="22"/>
    </row>
    <row r="30" spans="1:5" s="5" customFormat="1" ht="13.5">
      <c r="A30" s="353" t="s">
        <v>188</v>
      </c>
      <c r="B30" s="26" t="s">
        <v>145</v>
      </c>
      <c r="C30" s="26">
        <f>SUM(C31)</f>
        <v>2650</v>
      </c>
      <c r="D30" s="22"/>
      <c r="E30" s="22"/>
    </row>
    <row r="31" spans="1:5" s="5" customFormat="1" ht="13.5" hidden="1">
      <c r="A31" s="107" t="s">
        <v>189</v>
      </c>
      <c r="B31" s="24" t="s">
        <v>56</v>
      </c>
      <c r="C31" s="821">
        <v>2650</v>
      </c>
      <c r="D31" s="24"/>
      <c r="E31" s="22"/>
    </row>
    <row r="32" spans="3:5" s="5" customFormat="1" ht="12.75">
      <c r="C32" s="22"/>
      <c r="D32" s="22"/>
      <c r="E32" s="22"/>
    </row>
    <row r="33" spans="3:5" s="5" customFormat="1" ht="12.75">
      <c r="C33" s="22"/>
      <c r="D33" s="22"/>
      <c r="E33" s="22"/>
    </row>
  </sheetData>
  <sheetProtection/>
  <mergeCells count="3">
    <mergeCell ref="A15:B15"/>
    <mergeCell ref="A21:B21"/>
    <mergeCell ref="A27:B27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>
    <oddHeader xml:space="preserve">&amp;L&amp;"Arial Narrow,Normal"&amp;8Presupuesto Municipal 2016&amp;R&amp;"Arial Narrow,Normal"&amp;8MUNICIPALIDAD DE VILLA MARÍA
Secretaría de Economía y Administración </oddHeader>
    <oddFooter>&amp;C&amp;"Arial Narrow,Normal"&amp;8Tribunal Municipal de Reclamos y Apelaciones Fiscales
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22" sqref="I22"/>
    </sheetView>
  </sheetViews>
  <sheetFormatPr defaultColWidth="11.421875" defaultRowHeight="12.75"/>
  <cols>
    <col min="1" max="1" width="9.7109375" style="3" customWidth="1"/>
    <col min="2" max="2" width="46.7109375" style="3" customWidth="1"/>
    <col min="3" max="3" width="12.7109375" style="19" customWidth="1"/>
    <col min="4" max="4" width="10.7109375" style="19" customWidth="1"/>
    <col min="5" max="5" width="13.7109375" style="19" customWidth="1"/>
    <col min="6" max="16384" width="11.421875" style="3" customWidth="1"/>
  </cols>
  <sheetData>
    <row r="1" ht="12.75">
      <c r="A1" s="110" t="s">
        <v>1396</v>
      </c>
    </row>
    <row r="2" ht="12.75">
      <c r="A2" s="110"/>
    </row>
    <row r="3" ht="13.5" thickBot="1"/>
    <row r="4" spans="1:5" ht="12.75">
      <c r="A4" s="64" t="s">
        <v>1395</v>
      </c>
      <c r="B4" s="221"/>
      <c r="C4" s="65"/>
      <c r="D4" s="67" t="s">
        <v>6</v>
      </c>
      <c r="E4" s="516" t="s">
        <v>1087</v>
      </c>
    </row>
    <row r="5" spans="1:5" ht="13.5" thickBot="1">
      <c r="A5" s="49"/>
      <c r="B5" s="205"/>
      <c r="C5" s="119"/>
      <c r="D5" s="121"/>
      <c r="E5" s="517"/>
    </row>
    <row r="6" spans="1:5" ht="12.75">
      <c r="A6" s="45" t="s">
        <v>1088</v>
      </c>
      <c r="B6" s="208"/>
      <c r="C6" s="172"/>
      <c r="D6" s="172"/>
      <c r="E6" s="450"/>
    </row>
    <row r="7" spans="1:5" ht="12.75">
      <c r="A7" s="45" t="s">
        <v>1089</v>
      </c>
      <c r="B7" s="208"/>
      <c r="C7" s="172"/>
      <c r="D7" s="172"/>
      <c r="E7" s="450"/>
    </row>
    <row r="8" spans="1:5" ht="13.5" thickBot="1">
      <c r="A8" s="45" t="s">
        <v>1090</v>
      </c>
      <c r="B8" s="208"/>
      <c r="C8" s="172"/>
      <c r="D8" s="172"/>
      <c r="E8" s="450"/>
    </row>
    <row r="9" spans="1:5" s="11" customFormat="1" ht="13.5">
      <c r="A9" s="169" t="s">
        <v>1365</v>
      </c>
      <c r="B9" s="245"/>
      <c r="C9" s="601"/>
      <c r="D9" s="601"/>
      <c r="E9" s="603"/>
    </row>
    <row r="10" spans="1:5" s="11" customFormat="1" ht="13.5">
      <c r="A10" s="52" t="s">
        <v>1420</v>
      </c>
      <c r="B10" s="13"/>
      <c r="C10" s="25"/>
      <c r="D10" s="25"/>
      <c r="E10" s="453"/>
    </row>
    <row r="11" spans="1:5" s="11" customFormat="1" ht="13.5">
      <c r="A11" s="52" t="s">
        <v>1421</v>
      </c>
      <c r="B11" s="13"/>
      <c r="C11" s="25"/>
      <c r="D11" s="25"/>
      <c r="E11" s="453"/>
    </row>
    <row r="12" spans="1:5" s="11" customFormat="1" ht="14.25" thickBot="1">
      <c r="A12" s="111" t="s">
        <v>16</v>
      </c>
      <c r="B12" s="196"/>
      <c r="C12" s="556"/>
      <c r="D12" s="556"/>
      <c r="E12" s="557"/>
    </row>
    <row r="13" spans="1:7" s="11" customFormat="1" ht="14.25" thickBot="1">
      <c r="A13" s="54" t="s">
        <v>17</v>
      </c>
      <c r="B13" s="192"/>
      <c r="C13" s="55"/>
      <c r="D13" s="191"/>
      <c r="E13" s="161">
        <f>C15+C23+C31</f>
        <v>124500</v>
      </c>
      <c r="G13" s="559"/>
    </row>
    <row r="14" ht="13.5" thickBot="1"/>
    <row r="15" spans="1:3" ht="14.25" thickBot="1">
      <c r="A15" s="947" t="s">
        <v>2</v>
      </c>
      <c r="B15" s="948"/>
      <c r="C15" s="38">
        <f>C16+C18+C20</f>
        <v>18400</v>
      </c>
    </row>
    <row r="16" spans="1:5" ht="13.5">
      <c r="A16" s="12" t="s">
        <v>113</v>
      </c>
      <c r="B16" s="353" t="s">
        <v>118</v>
      </c>
      <c r="C16" s="34">
        <f>SUM(C17)</f>
        <v>4500</v>
      </c>
      <c r="E16" s="559"/>
    </row>
    <row r="17" spans="1:7" s="57" customFormat="1" ht="13.5" customHeight="1" hidden="1">
      <c r="A17" s="13" t="s">
        <v>50</v>
      </c>
      <c r="B17" s="9" t="s">
        <v>49</v>
      </c>
      <c r="C17" s="821">
        <v>4500</v>
      </c>
      <c r="D17" s="23"/>
      <c r="E17" s="729"/>
      <c r="G17" s="71"/>
    </row>
    <row r="18" spans="1:5" s="527" customFormat="1" ht="13.5">
      <c r="A18" s="12" t="s">
        <v>117</v>
      </c>
      <c r="B18" s="353" t="s">
        <v>118</v>
      </c>
      <c r="C18" s="34">
        <f>SUM(C19)</f>
        <v>9750</v>
      </c>
      <c r="D18" s="526"/>
      <c r="E18" s="720"/>
    </row>
    <row r="19" spans="1:8" s="107" customFormat="1" ht="13.5" customHeight="1" hidden="1">
      <c r="A19" s="13" t="s">
        <v>51</v>
      </c>
      <c r="B19" s="24" t="s">
        <v>52</v>
      </c>
      <c r="C19" s="821">
        <v>9750</v>
      </c>
      <c r="D19" s="115"/>
      <c r="E19" s="26"/>
      <c r="F19" s="142"/>
      <c r="G19" s="25"/>
      <c r="H19" s="13"/>
    </row>
    <row r="20" spans="1:8" s="107" customFormat="1" ht="13.5" customHeight="1">
      <c r="A20" s="353" t="s">
        <v>918</v>
      </c>
      <c r="B20" s="26" t="s">
        <v>144</v>
      </c>
      <c r="C20" s="26">
        <f>SUM(C21)</f>
        <v>4150</v>
      </c>
      <c r="D20" s="115"/>
      <c r="E20" s="26"/>
      <c r="F20" s="142"/>
      <c r="G20" s="25"/>
      <c r="H20" s="13"/>
    </row>
    <row r="21" spans="1:8" s="107" customFormat="1" ht="13.5" customHeight="1" hidden="1">
      <c r="A21" s="107" t="s">
        <v>173</v>
      </c>
      <c r="B21" s="24" t="s">
        <v>144</v>
      </c>
      <c r="C21" s="821">
        <v>4150</v>
      </c>
      <c r="D21" s="115"/>
      <c r="E21" s="26"/>
      <c r="F21" s="404"/>
      <c r="G21" s="25"/>
      <c r="H21" s="176"/>
    </row>
    <row r="22" spans="2:8" s="107" customFormat="1" ht="13.5" customHeight="1" thickBot="1">
      <c r="B22" s="24"/>
      <c r="C22" s="24"/>
      <c r="D22" s="115"/>
      <c r="E22" s="26"/>
      <c r="F22" s="404"/>
      <c r="G22" s="25"/>
      <c r="H22" s="176"/>
    </row>
    <row r="23" spans="1:5" s="5" customFormat="1" ht="14.25" thickBot="1">
      <c r="A23" s="949" t="s">
        <v>3</v>
      </c>
      <c r="B23" s="950"/>
      <c r="C23" s="36">
        <f>C24+C26</f>
        <v>92700</v>
      </c>
      <c r="D23" s="22"/>
      <c r="E23" s="22"/>
    </row>
    <row r="24" spans="1:5" s="529" customFormat="1" ht="13.5">
      <c r="A24" s="353" t="s">
        <v>123</v>
      </c>
      <c r="B24" s="404" t="s">
        <v>124</v>
      </c>
      <c r="C24" s="34">
        <f>SUM(C25)</f>
        <v>3500</v>
      </c>
      <c r="D24" s="321"/>
      <c r="E24" s="321"/>
    </row>
    <row r="25" spans="1:8" s="107" customFormat="1" ht="13.5" customHeight="1" hidden="1">
      <c r="A25" s="107" t="s">
        <v>98</v>
      </c>
      <c r="B25" s="24" t="s">
        <v>69</v>
      </c>
      <c r="C25" s="821">
        <v>3500</v>
      </c>
      <c r="D25" s="115"/>
      <c r="E25" s="26"/>
      <c r="F25" s="314"/>
      <c r="G25" s="25"/>
      <c r="H25" s="25"/>
    </row>
    <row r="26" spans="1:8" s="107" customFormat="1" ht="13.5" customHeight="1">
      <c r="A26" s="353" t="s">
        <v>125</v>
      </c>
      <c r="B26" s="26" t="s">
        <v>8</v>
      </c>
      <c r="C26" s="33">
        <f>SUM(C27:C29)</f>
        <v>89200</v>
      </c>
      <c r="D26" s="115"/>
      <c r="E26" s="26"/>
      <c r="F26" s="314"/>
      <c r="G26" s="25"/>
      <c r="H26" s="25"/>
    </row>
    <row r="27" spans="1:10" s="107" customFormat="1" ht="13.5" customHeight="1" hidden="1">
      <c r="A27" s="107" t="s">
        <v>733</v>
      </c>
      <c r="B27" s="24" t="s">
        <v>8</v>
      </c>
      <c r="C27" s="821">
        <v>72600</v>
      </c>
      <c r="D27" s="115"/>
      <c r="E27" s="26"/>
      <c r="F27" s="142"/>
      <c r="G27" s="25"/>
      <c r="H27" s="13"/>
      <c r="J27" s="24"/>
    </row>
    <row r="28" spans="1:9" s="107" customFormat="1" ht="13.5" customHeight="1" hidden="1">
      <c r="A28" s="107" t="s">
        <v>205</v>
      </c>
      <c r="B28" s="24" t="s">
        <v>54</v>
      </c>
      <c r="C28" s="821">
        <v>6500</v>
      </c>
      <c r="D28" s="115"/>
      <c r="E28" s="26"/>
      <c r="F28" s="142"/>
      <c r="G28" s="25"/>
      <c r="H28" s="13"/>
      <c r="I28" s="24"/>
    </row>
    <row r="29" spans="1:8" s="107" customFormat="1" ht="13.5" customHeight="1" hidden="1">
      <c r="A29" s="107" t="s">
        <v>100</v>
      </c>
      <c r="B29" s="24" t="s">
        <v>7</v>
      </c>
      <c r="C29" s="821">
        <v>10100</v>
      </c>
      <c r="D29" s="116"/>
      <c r="E29" s="26"/>
      <c r="F29" s="142"/>
      <c r="G29" s="25"/>
      <c r="H29" s="13"/>
    </row>
    <row r="30" spans="2:8" s="107" customFormat="1" ht="13.5" customHeight="1" thickBot="1">
      <c r="B30" s="24"/>
      <c r="C30" s="25"/>
      <c r="D30" s="116"/>
      <c r="E30" s="26"/>
      <c r="F30" s="142"/>
      <c r="G30" s="25"/>
      <c r="H30" s="13"/>
    </row>
    <row r="31" spans="1:5" s="5" customFormat="1" ht="14.25" thickBot="1">
      <c r="A31" s="951" t="s">
        <v>4</v>
      </c>
      <c r="B31" s="952"/>
      <c r="C31" s="32">
        <f>+C32+C34</f>
        <v>13400</v>
      </c>
      <c r="D31" s="22"/>
      <c r="E31" s="22"/>
    </row>
    <row r="32" spans="1:5" s="529" customFormat="1" ht="13.5">
      <c r="A32" s="353" t="s">
        <v>126</v>
      </c>
      <c r="B32" s="404" t="s">
        <v>127</v>
      </c>
      <c r="C32" s="34">
        <f>SUM(C33:C33)</f>
        <v>9900</v>
      </c>
      <c r="D32" s="321"/>
      <c r="E32" s="321"/>
    </row>
    <row r="33" spans="1:8" s="107" customFormat="1" ht="13.5" customHeight="1" hidden="1">
      <c r="A33" s="107" t="s">
        <v>101</v>
      </c>
      <c r="B33" s="24" t="s">
        <v>152</v>
      </c>
      <c r="C33" s="821">
        <v>9900</v>
      </c>
      <c r="D33" s="115"/>
      <c r="E33" s="26"/>
      <c r="F33" s="142"/>
      <c r="G33" s="25"/>
      <c r="H33" s="13"/>
    </row>
    <row r="34" spans="1:8" s="107" customFormat="1" ht="13.5" customHeight="1">
      <c r="A34" s="353" t="s">
        <v>188</v>
      </c>
      <c r="B34" s="26" t="s">
        <v>145</v>
      </c>
      <c r="C34" s="26">
        <f>SUM(C35)</f>
        <v>3500</v>
      </c>
      <c r="D34" s="115"/>
      <c r="E34" s="26"/>
      <c r="F34" s="142"/>
      <c r="G34" s="25"/>
      <c r="H34" s="13"/>
    </row>
    <row r="35" spans="1:8" s="107" customFormat="1" ht="13.5" customHeight="1" hidden="1">
      <c r="A35" s="107" t="s">
        <v>189</v>
      </c>
      <c r="B35" s="24" t="s">
        <v>56</v>
      </c>
      <c r="C35" s="821">
        <v>3500</v>
      </c>
      <c r="D35" s="115"/>
      <c r="E35" s="26"/>
      <c r="F35" s="142"/>
      <c r="G35" s="25"/>
      <c r="H35" s="13"/>
    </row>
    <row r="36" spans="3:5" s="5" customFormat="1" ht="12.75">
      <c r="C36" s="22"/>
      <c r="D36" s="22"/>
      <c r="E36" s="22"/>
    </row>
    <row r="37" spans="3:5" s="5" customFormat="1" ht="12.75">
      <c r="C37" s="22"/>
      <c r="D37" s="22"/>
      <c r="E37" s="22"/>
    </row>
  </sheetData>
  <sheetProtection/>
  <mergeCells count="3">
    <mergeCell ref="A15:B15"/>
    <mergeCell ref="A23:B23"/>
    <mergeCell ref="A31:B31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>
    <oddHeader>&amp;L&amp;"Arial Narrow,Normal"&amp;8Presupuesto Municipal 2016
&amp;R&amp;"Arial Narrow,Normal"&amp;8MUNICIPALIDAD DE VILLA MARÍA
Secretaría de Economía y Administración</oddHeader>
    <oddFooter>&amp;C&amp;"Arial Narrow,Normal"&amp;8Ente de Control de Servicios Municipales
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I25" sqref="I25"/>
    </sheetView>
  </sheetViews>
  <sheetFormatPr defaultColWidth="11.421875" defaultRowHeight="12.75"/>
  <cols>
    <col min="1" max="1" width="9.7109375" style="3" customWidth="1"/>
    <col min="2" max="2" width="46.7109375" style="3" customWidth="1"/>
    <col min="3" max="3" width="12.7109375" style="19" customWidth="1"/>
    <col min="4" max="4" width="10.7109375" style="19" customWidth="1"/>
    <col min="5" max="5" width="13.7109375" style="19" customWidth="1"/>
    <col min="6" max="16384" width="11.421875" style="3" customWidth="1"/>
  </cols>
  <sheetData>
    <row r="1" ht="12.75">
      <c r="A1" s="110" t="s">
        <v>1079</v>
      </c>
    </row>
    <row r="2" ht="12.75">
      <c r="A2" s="110"/>
    </row>
    <row r="3" ht="13.5" thickBot="1"/>
    <row r="4" spans="1:5" ht="12.75">
      <c r="A4" s="64" t="s">
        <v>1080</v>
      </c>
      <c r="B4" s="221"/>
      <c r="C4" s="65"/>
      <c r="D4" s="67" t="s">
        <v>6</v>
      </c>
      <c r="E4" s="516" t="s">
        <v>1081</v>
      </c>
    </row>
    <row r="5" spans="1:5" ht="13.5" thickBot="1">
      <c r="A5" s="49"/>
      <c r="B5" s="205"/>
      <c r="C5" s="119"/>
      <c r="D5" s="121"/>
      <c r="E5" s="517"/>
    </row>
    <row r="6" spans="1:5" ht="12.75">
      <c r="A6" s="45" t="s">
        <v>1082</v>
      </c>
      <c r="B6" s="208"/>
      <c r="C6" s="172"/>
      <c r="D6" s="172"/>
      <c r="E6" s="450"/>
    </row>
    <row r="7" spans="1:5" ht="13.5" thickBot="1">
      <c r="A7" s="49" t="s">
        <v>1083</v>
      </c>
      <c r="B7" s="205"/>
      <c r="C7" s="119"/>
      <c r="D7" s="119"/>
      <c r="E7" s="452"/>
    </row>
    <row r="8" spans="1:5" s="11" customFormat="1" ht="13.5">
      <c r="A8" s="169" t="s">
        <v>1365</v>
      </c>
      <c r="B8" s="245"/>
      <c r="C8" s="601"/>
      <c r="D8" s="601"/>
      <c r="E8" s="603"/>
    </row>
    <row r="9" spans="1:5" s="11" customFormat="1" ht="13.5">
      <c r="A9" s="52" t="s">
        <v>1084</v>
      </c>
      <c r="B9" s="13"/>
      <c r="C9" s="25"/>
      <c r="D9" s="25"/>
      <c r="E9" s="453"/>
    </row>
    <row r="10" spans="1:5" s="11" customFormat="1" ht="13.5">
      <c r="A10" s="52" t="s">
        <v>1421</v>
      </c>
      <c r="B10" s="13"/>
      <c r="C10" s="25"/>
      <c r="D10" s="25"/>
      <c r="E10" s="453"/>
    </row>
    <row r="11" spans="1:5" s="11" customFormat="1" ht="14.25" thickBot="1">
      <c r="A11" s="111" t="s">
        <v>16</v>
      </c>
      <c r="B11" s="196"/>
      <c r="C11" s="556"/>
      <c r="D11" s="556"/>
      <c r="E11" s="557"/>
    </row>
    <row r="12" spans="1:7" s="11" customFormat="1" ht="14.25" thickBot="1">
      <c r="A12" s="113" t="s">
        <v>17</v>
      </c>
      <c r="B12" s="651"/>
      <c r="C12" s="62"/>
      <c r="D12" s="112"/>
      <c r="E12" s="719">
        <f>C14+C22+C31</f>
        <v>101525</v>
      </c>
      <c r="G12" s="559"/>
    </row>
    <row r="13" ht="13.5" thickBot="1"/>
    <row r="14" spans="1:3" ht="14.25" thickBot="1">
      <c r="A14" s="947" t="s">
        <v>2</v>
      </c>
      <c r="B14" s="948"/>
      <c r="C14" s="38">
        <f>C15+C17+C19</f>
        <v>8625</v>
      </c>
    </row>
    <row r="15" spans="1:5" s="527" customFormat="1" ht="13.5">
      <c r="A15" s="12" t="s">
        <v>115</v>
      </c>
      <c r="B15" s="404" t="s">
        <v>1085</v>
      </c>
      <c r="C15" s="34">
        <f>SUM(C16)</f>
        <v>2450</v>
      </c>
      <c r="D15" s="526"/>
      <c r="E15" s="720"/>
    </row>
    <row r="16" spans="1:7" s="13" customFormat="1" ht="13.5" customHeight="1" hidden="1">
      <c r="A16" s="13" t="s">
        <v>96</v>
      </c>
      <c r="B16" s="107" t="s">
        <v>71</v>
      </c>
      <c r="C16" s="821">
        <v>2450</v>
      </c>
      <c r="D16" s="23"/>
      <c r="E16" s="33"/>
      <c r="G16" s="25"/>
    </row>
    <row r="17" spans="1:7" s="13" customFormat="1" ht="13.5" customHeight="1">
      <c r="A17" s="12" t="s">
        <v>117</v>
      </c>
      <c r="B17" s="353" t="s">
        <v>1086</v>
      </c>
      <c r="C17" s="33">
        <f>SUM(C18)</f>
        <v>4225</v>
      </c>
      <c r="D17" s="23"/>
      <c r="E17" s="33"/>
      <c r="G17" s="25"/>
    </row>
    <row r="18" spans="1:8" s="107" customFormat="1" ht="13.5" customHeight="1" hidden="1">
      <c r="A18" s="13" t="s">
        <v>51</v>
      </c>
      <c r="B18" s="24" t="s">
        <v>52</v>
      </c>
      <c r="C18" s="821">
        <v>4225</v>
      </c>
      <c r="D18" s="115"/>
      <c r="E18" s="26"/>
      <c r="F18" s="142"/>
      <c r="G18" s="25"/>
      <c r="H18" s="13"/>
    </row>
    <row r="19" spans="1:8" s="107" customFormat="1" ht="13.5" customHeight="1">
      <c r="A19" s="353" t="s">
        <v>169</v>
      </c>
      <c r="B19" s="26" t="s">
        <v>144</v>
      </c>
      <c r="C19" s="26">
        <f>SUM(C20)</f>
        <v>1950</v>
      </c>
      <c r="D19" s="115"/>
      <c r="E19" s="26"/>
      <c r="F19" s="142"/>
      <c r="G19" s="25"/>
      <c r="H19" s="13"/>
    </row>
    <row r="20" spans="1:8" s="107" customFormat="1" ht="13.5" customHeight="1" hidden="1">
      <c r="A20" s="107" t="s">
        <v>173</v>
      </c>
      <c r="B20" s="24" t="s">
        <v>144</v>
      </c>
      <c r="C20" s="821">
        <v>1950</v>
      </c>
      <c r="D20" s="115"/>
      <c r="E20" s="26"/>
      <c r="F20" s="404"/>
      <c r="G20" s="25"/>
      <c r="H20" s="176"/>
    </row>
    <row r="21" spans="2:8" s="107" customFormat="1" ht="13.5" customHeight="1" thickBot="1">
      <c r="B21" s="24"/>
      <c r="C21" s="24"/>
      <c r="D21" s="115"/>
      <c r="E21" s="26"/>
      <c r="F21" s="404"/>
      <c r="G21" s="25"/>
      <c r="H21" s="176"/>
    </row>
    <row r="22" spans="1:5" s="5" customFormat="1" ht="14.25" thickBot="1">
      <c r="A22" s="949" t="s">
        <v>3</v>
      </c>
      <c r="B22" s="950"/>
      <c r="C22" s="36">
        <f>C23+C25+C27</f>
        <v>83450</v>
      </c>
      <c r="D22" s="22"/>
      <c r="E22" s="22"/>
    </row>
    <row r="23" spans="1:6" s="208" customFormat="1" ht="13.5">
      <c r="A23" s="353" t="s">
        <v>123</v>
      </c>
      <c r="B23" s="26" t="s">
        <v>124</v>
      </c>
      <c r="C23" s="33">
        <f>SUM(C24)</f>
        <v>2600</v>
      </c>
      <c r="D23" s="25"/>
      <c r="E23" s="172"/>
      <c r="F23" s="172"/>
    </row>
    <row r="24" spans="1:6" s="208" customFormat="1" ht="13.5" hidden="1">
      <c r="A24" s="107" t="s">
        <v>98</v>
      </c>
      <c r="B24" s="24" t="s">
        <v>69</v>
      </c>
      <c r="C24" s="821">
        <v>2600</v>
      </c>
      <c r="D24" s="25"/>
      <c r="E24" s="172"/>
      <c r="F24" s="172"/>
    </row>
    <row r="25" spans="1:6" s="208" customFormat="1" ht="13.5">
      <c r="A25" s="353" t="s">
        <v>143</v>
      </c>
      <c r="B25" s="12" t="s">
        <v>61</v>
      </c>
      <c r="C25" s="33">
        <f>SUM(C26)</f>
        <v>3150</v>
      </c>
      <c r="D25" s="25"/>
      <c r="E25" s="172"/>
      <c r="F25" s="172"/>
    </row>
    <row r="26" spans="1:6" s="208" customFormat="1" ht="13.5" hidden="1">
      <c r="A26" s="107" t="s">
        <v>60</v>
      </c>
      <c r="B26" s="13" t="s">
        <v>61</v>
      </c>
      <c r="C26" s="821">
        <v>3150</v>
      </c>
      <c r="D26" s="25"/>
      <c r="E26" s="172"/>
      <c r="F26" s="172"/>
    </row>
    <row r="27" spans="1:6" s="208" customFormat="1" ht="13.5">
      <c r="A27" s="353" t="s">
        <v>125</v>
      </c>
      <c r="B27" s="33" t="s">
        <v>8</v>
      </c>
      <c r="C27" s="33">
        <f>SUM(C28:C29)</f>
        <v>77700</v>
      </c>
      <c r="D27" s="25"/>
      <c r="E27" s="172"/>
      <c r="F27" s="172"/>
    </row>
    <row r="28" spans="1:10" s="208" customFormat="1" ht="13.5" hidden="1">
      <c r="A28" s="107" t="s">
        <v>99</v>
      </c>
      <c r="B28" s="25" t="s">
        <v>8</v>
      </c>
      <c r="C28" s="821">
        <v>72600</v>
      </c>
      <c r="D28" s="25"/>
      <c r="E28" s="172"/>
      <c r="F28" s="172"/>
      <c r="G28" s="5"/>
      <c r="H28" s="5"/>
      <c r="I28" s="5"/>
      <c r="J28" s="5"/>
    </row>
    <row r="29" spans="1:10" s="5" customFormat="1" ht="13.5" hidden="1">
      <c r="A29" s="107" t="s">
        <v>100</v>
      </c>
      <c r="B29" s="25" t="s">
        <v>7</v>
      </c>
      <c r="C29" s="821">
        <v>5100</v>
      </c>
      <c r="D29" s="26"/>
      <c r="E29" s="46"/>
      <c r="F29" s="172"/>
      <c r="G29" s="208"/>
      <c r="H29" s="208"/>
      <c r="I29" s="208"/>
      <c r="J29" s="208"/>
    </row>
    <row r="30" spans="1:8" s="107" customFormat="1" ht="13.5" customHeight="1" thickBot="1">
      <c r="A30" s="13"/>
      <c r="B30" s="13"/>
      <c r="C30" s="25"/>
      <c r="D30" s="115"/>
      <c r="E30" s="26"/>
      <c r="F30" s="314"/>
      <c r="G30" s="25"/>
      <c r="H30" s="25"/>
    </row>
    <row r="31" spans="1:5" s="5" customFormat="1" ht="14.25" thickBot="1">
      <c r="A31" s="951" t="s">
        <v>4</v>
      </c>
      <c r="B31" s="952"/>
      <c r="C31" s="32">
        <f>C32+C34</f>
        <v>9450</v>
      </c>
      <c r="D31" s="22"/>
      <c r="E31" s="22"/>
    </row>
    <row r="32" spans="1:5" s="5" customFormat="1" ht="13.5">
      <c r="A32" s="353" t="s">
        <v>126</v>
      </c>
      <c r="B32" s="26" t="s">
        <v>127</v>
      </c>
      <c r="C32" s="33">
        <f>SUM(C33)</f>
        <v>7450</v>
      </c>
      <c r="D32" s="24"/>
      <c r="E32" s="22"/>
    </row>
    <row r="33" spans="1:5" s="5" customFormat="1" ht="13.5" hidden="1">
      <c r="A33" s="107" t="s">
        <v>101</v>
      </c>
      <c r="B33" s="107" t="s">
        <v>152</v>
      </c>
      <c r="C33" s="821">
        <v>7450</v>
      </c>
      <c r="D33" s="22"/>
      <c r="E33" s="22"/>
    </row>
    <row r="34" spans="1:5" s="529" customFormat="1" ht="13.5">
      <c r="A34" s="353" t="s">
        <v>188</v>
      </c>
      <c r="B34" s="26" t="s">
        <v>145</v>
      </c>
      <c r="C34" s="34">
        <f>SUM(C35)</f>
        <v>2000</v>
      </c>
      <c r="D34" s="321"/>
      <c r="E34" s="321"/>
    </row>
    <row r="35" spans="1:5" s="5" customFormat="1" ht="13.5" hidden="1">
      <c r="A35" s="107" t="s">
        <v>189</v>
      </c>
      <c r="B35" s="24" t="s">
        <v>56</v>
      </c>
      <c r="C35" s="821">
        <v>2000</v>
      </c>
      <c r="D35" s="24"/>
      <c r="E35" s="22"/>
    </row>
    <row r="36" spans="3:5" s="5" customFormat="1" ht="12.75">
      <c r="C36" s="22"/>
      <c r="D36" s="22"/>
      <c r="E36" s="22"/>
    </row>
    <row r="37" spans="3:5" s="5" customFormat="1" ht="12.75">
      <c r="C37" s="22"/>
      <c r="D37" s="22"/>
      <c r="E37" s="22"/>
    </row>
    <row r="38" spans="3:5" s="5" customFormat="1" ht="12.75">
      <c r="C38" s="22"/>
      <c r="D38" s="22"/>
      <c r="E38" s="22"/>
    </row>
    <row r="39" spans="3:5" s="5" customFormat="1" ht="12.75">
      <c r="C39" s="22"/>
      <c r="D39" s="22"/>
      <c r="E39" s="22"/>
    </row>
    <row r="40" spans="3:5" s="5" customFormat="1" ht="12.75">
      <c r="C40" s="22"/>
      <c r="D40" s="22"/>
      <c r="E40" s="22"/>
    </row>
    <row r="41" spans="3:5" s="5" customFormat="1" ht="12.75">
      <c r="C41" s="22"/>
      <c r="D41" s="22"/>
      <c r="E41" s="22"/>
    </row>
    <row r="42" spans="3:5" s="5" customFormat="1" ht="12.75">
      <c r="C42" s="22"/>
      <c r="D42" s="22"/>
      <c r="E42" s="22"/>
    </row>
    <row r="43" spans="3:5" s="5" customFormat="1" ht="12.75">
      <c r="C43" s="22"/>
      <c r="D43" s="22"/>
      <c r="E43" s="22"/>
    </row>
    <row r="44" spans="3:5" s="5" customFormat="1" ht="12.75">
      <c r="C44" s="22"/>
      <c r="D44" s="22"/>
      <c r="E44" s="22"/>
    </row>
    <row r="45" spans="3:5" s="5" customFormat="1" ht="12.75">
      <c r="C45" s="22"/>
      <c r="D45" s="22"/>
      <c r="E45" s="22"/>
    </row>
    <row r="46" spans="3:5" s="5" customFormat="1" ht="12.75">
      <c r="C46" s="22"/>
      <c r="D46" s="22"/>
      <c r="E46" s="22"/>
    </row>
    <row r="47" spans="3:5" s="5" customFormat="1" ht="12.75">
      <c r="C47" s="22"/>
      <c r="D47" s="22"/>
      <c r="E47" s="22"/>
    </row>
    <row r="48" spans="3:5" s="5" customFormat="1" ht="12.75">
      <c r="C48" s="22"/>
      <c r="D48" s="22"/>
      <c r="E48" s="22"/>
    </row>
    <row r="49" spans="3:5" s="5" customFormat="1" ht="12.75">
      <c r="C49" s="22"/>
      <c r="D49" s="22"/>
      <c r="E49" s="22"/>
    </row>
    <row r="50" spans="3:5" s="5" customFormat="1" ht="12.75">
      <c r="C50" s="22"/>
      <c r="D50" s="22"/>
      <c r="E50" s="22"/>
    </row>
    <row r="51" spans="3:5" s="5" customFormat="1" ht="12.75">
      <c r="C51" s="22"/>
      <c r="D51" s="22"/>
      <c r="E51" s="22"/>
    </row>
    <row r="52" spans="3:5" s="5" customFormat="1" ht="12.75">
      <c r="C52" s="22"/>
      <c r="D52" s="22"/>
      <c r="E52" s="22"/>
    </row>
    <row r="53" spans="3:5" s="5" customFormat="1" ht="12.75">
      <c r="C53" s="22"/>
      <c r="D53" s="22"/>
      <c r="E53" s="22"/>
    </row>
    <row r="54" spans="3:5" s="5" customFormat="1" ht="12.75">
      <c r="C54" s="22"/>
      <c r="D54" s="22"/>
      <c r="E54" s="22"/>
    </row>
    <row r="55" spans="3:5" s="5" customFormat="1" ht="12.75">
      <c r="C55" s="22"/>
      <c r="D55" s="22"/>
      <c r="E55" s="22"/>
    </row>
    <row r="56" spans="3:5" s="5" customFormat="1" ht="12.75">
      <c r="C56" s="22"/>
      <c r="D56" s="22"/>
      <c r="E56" s="22"/>
    </row>
    <row r="57" spans="3:5" s="5" customFormat="1" ht="12.75">
      <c r="C57" s="22"/>
      <c r="D57" s="22"/>
      <c r="E57" s="22"/>
    </row>
    <row r="58" spans="3:5" s="5" customFormat="1" ht="12.75">
      <c r="C58" s="22"/>
      <c r="D58" s="22"/>
      <c r="E58" s="22"/>
    </row>
    <row r="59" spans="3:5" s="5" customFormat="1" ht="12.75">
      <c r="C59" s="22"/>
      <c r="D59" s="22"/>
      <c r="E59" s="22"/>
    </row>
    <row r="60" spans="3:5" s="5" customFormat="1" ht="12.75">
      <c r="C60" s="22"/>
      <c r="D60" s="22"/>
      <c r="E60" s="22"/>
    </row>
    <row r="61" spans="3:5" s="5" customFormat="1" ht="12.75">
      <c r="C61" s="22"/>
      <c r="D61" s="22"/>
      <c r="E61" s="22"/>
    </row>
    <row r="62" spans="3:5" s="5" customFormat="1" ht="12.75">
      <c r="C62" s="22"/>
      <c r="D62" s="22"/>
      <c r="E62" s="22"/>
    </row>
    <row r="63" spans="3:5" s="5" customFormat="1" ht="12.75">
      <c r="C63" s="22"/>
      <c r="D63" s="22"/>
      <c r="E63" s="22"/>
    </row>
    <row r="64" spans="3:5" s="5" customFormat="1" ht="12.75">
      <c r="C64" s="22"/>
      <c r="D64" s="22"/>
      <c r="E64" s="22"/>
    </row>
    <row r="65" spans="3:5" s="5" customFormat="1" ht="12.75">
      <c r="C65" s="22"/>
      <c r="D65" s="22"/>
      <c r="E65" s="22"/>
    </row>
    <row r="66" spans="3:5" s="5" customFormat="1" ht="12.75">
      <c r="C66" s="22"/>
      <c r="D66" s="22"/>
      <c r="E66" s="22"/>
    </row>
    <row r="67" spans="3:5" s="5" customFormat="1" ht="12.75">
      <c r="C67" s="22"/>
      <c r="D67" s="22"/>
      <c r="E67" s="22"/>
    </row>
    <row r="68" spans="3:5" s="5" customFormat="1" ht="12.75">
      <c r="C68" s="22"/>
      <c r="D68" s="22"/>
      <c r="E68" s="22"/>
    </row>
    <row r="69" spans="3:5" s="5" customFormat="1" ht="12.75">
      <c r="C69" s="22"/>
      <c r="D69" s="22"/>
      <c r="E69" s="22"/>
    </row>
    <row r="70" spans="3:5" s="5" customFormat="1" ht="12.75">
      <c r="C70" s="22"/>
      <c r="D70" s="22"/>
      <c r="E70" s="22"/>
    </row>
    <row r="71" spans="3:5" s="5" customFormat="1" ht="12.75">
      <c r="C71" s="22"/>
      <c r="D71" s="22"/>
      <c r="E71" s="22"/>
    </row>
    <row r="72" spans="3:5" s="5" customFormat="1" ht="12.75">
      <c r="C72" s="22"/>
      <c r="D72" s="22"/>
      <c r="E72" s="22"/>
    </row>
    <row r="73" spans="3:5" s="5" customFormat="1" ht="12.75">
      <c r="C73" s="22"/>
      <c r="D73" s="22"/>
      <c r="E73" s="22"/>
    </row>
    <row r="74" spans="3:5" s="5" customFormat="1" ht="12.75">
      <c r="C74" s="22"/>
      <c r="D74" s="22"/>
      <c r="E74" s="22"/>
    </row>
  </sheetData>
  <sheetProtection/>
  <mergeCells count="3">
    <mergeCell ref="A14:B14"/>
    <mergeCell ref="A22:B22"/>
    <mergeCell ref="A31:B31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Narrow,Normal"&amp;8Tribunal Administraivo de Adminsiones y Concursos
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2">
      <selection activeCell="G62" sqref="G62"/>
    </sheetView>
  </sheetViews>
  <sheetFormatPr defaultColWidth="11.421875" defaultRowHeight="12.75"/>
  <cols>
    <col min="1" max="1" width="9.7109375" style="68" customWidth="1"/>
    <col min="2" max="2" width="46.7109375" style="68" customWidth="1"/>
    <col min="3" max="3" width="12.7109375" style="94" customWidth="1"/>
    <col min="4" max="4" width="10.7109375" style="94" customWidth="1"/>
    <col min="5" max="5" width="13.7109375" style="94" customWidth="1"/>
    <col min="6" max="16384" width="11.421875" style="68" customWidth="1"/>
  </cols>
  <sheetData>
    <row r="1" ht="12.75">
      <c r="A1" s="630" t="s">
        <v>1070</v>
      </c>
    </row>
    <row r="2" ht="12.75">
      <c r="A2" s="630"/>
    </row>
    <row r="3" ht="13.5" thickBot="1"/>
    <row r="4" spans="1:5" ht="12.75">
      <c r="A4" s="72" t="s">
        <v>1071</v>
      </c>
      <c r="B4" s="73"/>
      <c r="C4" s="74"/>
      <c r="D4" s="75" t="s">
        <v>6</v>
      </c>
      <c r="E4" s="76" t="s">
        <v>1072</v>
      </c>
    </row>
    <row r="5" spans="1:5" ht="13.5" thickBot="1">
      <c r="A5" s="81"/>
      <c r="B5" s="82"/>
      <c r="C5" s="83"/>
      <c r="D5" s="174"/>
      <c r="E5" s="173"/>
    </row>
    <row r="6" spans="1:5" ht="12.75">
      <c r="A6" s="77" t="s">
        <v>1073</v>
      </c>
      <c r="B6" s="78"/>
      <c r="C6" s="79"/>
      <c r="D6" s="79"/>
      <c r="E6" s="80"/>
    </row>
    <row r="7" spans="1:5" ht="12.75">
      <c r="A7" s="77" t="s">
        <v>1074</v>
      </c>
      <c r="B7" s="78"/>
      <c r="C7" s="79"/>
      <c r="D7" s="79"/>
      <c r="E7" s="80"/>
    </row>
    <row r="8" spans="1:5" ht="12.75">
      <c r="A8" s="77" t="s">
        <v>1075</v>
      </c>
      <c r="B8" s="78"/>
      <c r="C8" s="79"/>
      <c r="D8" s="79"/>
      <c r="E8" s="80"/>
    </row>
    <row r="9" spans="1:5" ht="13.5" thickBot="1">
      <c r="A9" s="81" t="s">
        <v>1076</v>
      </c>
      <c r="B9" s="82"/>
      <c r="C9" s="83"/>
      <c r="D9" s="83"/>
      <c r="E9" s="84"/>
    </row>
    <row r="10" spans="1:5" s="631" customFormat="1" ht="13.5">
      <c r="A10" s="85" t="s">
        <v>1365</v>
      </c>
      <c r="B10" s="86"/>
      <c r="C10" s="87"/>
      <c r="D10" s="87"/>
      <c r="E10" s="88"/>
    </row>
    <row r="11" spans="1:5" s="631" customFormat="1" ht="13.5">
      <c r="A11" s="85" t="s">
        <v>1077</v>
      </c>
      <c r="B11" s="86"/>
      <c r="C11" s="87"/>
      <c r="D11" s="87"/>
      <c r="E11" s="88"/>
    </row>
    <row r="12" spans="1:5" s="631" customFormat="1" ht="13.5">
      <c r="A12" s="85" t="s">
        <v>1417</v>
      </c>
      <c r="B12" s="86"/>
      <c r="C12" s="87"/>
      <c r="D12" s="87"/>
      <c r="E12" s="88"/>
    </row>
    <row r="13" spans="1:5" s="631" customFormat="1" ht="14.25" thickBot="1">
      <c r="A13" s="85" t="s">
        <v>16</v>
      </c>
      <c r="B13" s="86"/>
      <c r="C13" s="87"/>
      <c r="D13" s="87"/>
      <c r="E13" s="88"/>
    </row>
    <row r="14" spans="1:7" s="631" customFormat="1" ht="14.25" thickBot="1">
      <c r="A14" s="89" t="s">
        <v>17</v>
      </c>
      <c r="B14" s="90"/>
      <c r="C14" s="91"/>
      <c r="D14" s="92"/>
      <c r="E14" s="93">
        <f>C16+C31+C42</f>
        <v>357390</v>
      </c>
      <c r="G14" s="823"/>
    </row>
    <row r="15" ht="13.5" thickBot="1"/>
    <row r="16" spans="1:5" ht="14.25" thickBot="1">
      <c r="A16" s="955" t="s">
        <v>2</v>
      </c>
      <c r="B16" s="956"/>
      <c r="C16" s="97">
        <f>C17+C19+C22+C26+C24</f>
        <v>32650</v>
      </c>
      <c r="E16" s="652"/>
    </row>
    <row r="17" spans="1:5" s="304" customFormat="1" ht="13.5">
      <c r="A17" s="12" t="s">
        <v>113</v>
      </c>
      <c r="B17" s="286" t="s">
        <v>114</v>
      </c>
      <c r="C17" s="816">
        <f>SUM(C18)</f>
        <v>5250</v>
      </c>
      <c r="D17" s="130"/>
      <c r="E17" s="755"/>
    </row>
    <row r="18" spans="1:7" s="57" customFormat="1" ht="13.5" customHeight="1" hidden="1">
      <c r="A18" s="13" t="s">
        <v>50</v>
      </c>
      <c r="B18" s="57" t="s">
        <v>49</v>
      </c>
      <c r="C18" s="821">
        <f>3250+2000</f>
        <v>5250</v>
      </c>
      <c r="D18" s="23"/>
      <c r="E18" s="33"/>
      <c r="G18" s="71"/>
    </row>
    <row r="19" spans="1:7" s="57" customFormat="1" ht="13.5" customHeight="1">
      <c r="A19" s="12" t="s">
        <v>115</v>
      </c>
      <c r="B19" s="791" t="s">
        <v>116</v>
      </c>
      <c r="C19" s="33">
        <f>SUM(C20:C21)</f>
        <v>10600</v>
      </c>
      <c r="D19" s="23"/>
      <c r="E19" s="33"/>
      <c r="G19" s="71"/>
    </row>
    <row r="20" spans="1:7" s="57" customFormat="1" ht="13.5" customHeight="1" hidden="1">
      <c r="A20" s="13" t="s">
        <v>72</v>
      </c>
      <c r="B20" s="57" t="s">
        <v>73</v>
      </c>
      <c r="C20" s="821">
        <v>5750</v>
      </c>
      <c r="D20" s="23"/>
      <c r="E20" s="33"/>
      <c r="G20" s="71"/>
    </row>
    <row r="21" spans="1:7" s="57" customFormat="1" ht="13.5" customHeight="1" hidden="1">
      <c r="A21" s="13" t="s">
        <v>96</v>
      </c>
      <c r="B21" s="57" t="s">
        <v>71</v>
      </c>
      <c r="C21" s="821">
        <v>4850</v>
      </c>
      <c r="D21" s="23"/>
      <c r="E21" s="33"/>
      <c r="G21" s="71"/>
    </row>
    <row r="22" spans="1:7" s="57" customFormat="1" ht="13.5" customHeight="1">
      <c r="A22" s="12" t="s">
        <v>117</v>
      </c>
      <c r="B22" s="791" t="s">
        <v>118</v>
      </c>
      <c r="C22" s="33">
        <f>SUM(C23)</f>
        <v>7950</v>
      </c>
      <c r="D22" s="23"/>
      <c r="E22" s="33"/>
      <c r="G22" s="71"/>
    </row>
    <row r="23" spans="1:8" s="9" customFormat="1" ht="13.5" customHeight="1" hidden="1">
      <c r="A23" s="13" t="s">
        <v>51</v>
      </c>
      <c r="B23" s="25" t="s">
        <v>52</v>
      </c>
      <c r="C23" s="821">
        <v>7950</v>
      </c>
      <c r="D23" s="115"/>
      <c r="E23" s="26"/>
      <c r="F23" s="140"/>
      <c r="G23" s="71"/>
      <c r="H23" s="57"/>
    </row>
    <row r="24" spans="1:5" s="100" customFormat="1" ht="13.5">
      <c r="A24" s="353" t="s">
        <v>134</v>
      </c>
      <c r="B24" s="812" t="s">
        <v>133</v>
      </c>
      <c r="C24" s="96">
        <f>SUM(C25)</f>
        <v>2650</v>
      </c>
      <c r="D24" s="102"/>
      <c r="E24" s="102"/>
    </row>
    <row r="25" spans="1:8" s="9" customFormat="1" ht="13.5" customHeight="1" hidden="1">
      <c r="A25" s="86" t="s">
        <v>103</v>
      </c>
      <c r="B25" s="86" t="s">
        <v>1078</v>
      </c>
      <c r="C25" s="821">
        <v>2650</v>
      </c>
      <c r="D25" s="115"/>
      <c r="E25" s="26"/>
      <c r="F25" s="280"/>
      <c r="G25" s="71"/>
      <c r="H25" s="71"/>
    </row>
    <row r="26" spans="1:5" s="100" customFormat="1" ht="13.5">
      <c r="A26" s="353" t="s">
        <v>169</v>
      </c>
      <c r="B26" s="26" t="s">
        <v>135</v>
      </c>
      <c r="C26" s="96">
        <f>SUM(C27:C29)</f>
        <v>6200</v>
      </c>
      <c r="D26" s="102"/>
      <c r="E26" s="102"/>
    </row>
    <row r="27" spans="1:5" s="100" customFormat="1" ht="13.5" customHeight="1" hidden="1">
      <c r="A27" s="13" t="s">
        <v>170</v>
      </c>
      <c r="B27" s="25" t="s">
        <v>70</v>
      </c>
      <c r="C27" s="822">
        <v>1550</v>
      </c>
      <c r="D27" s="102"/>
      <c r="E27" s="102"/>
    </row>
    <row r="28" spans="1:5" s="100" customFormat="1" ht="13.5" customHeight="1" hidden="1">
      <c r="A28" s="13" t="s">
        <v>171</v>
      </c>
      <c r="B28" s="25" t="s">
        <v>75</v>
      </c>
      <c r="C28" s="822">
        <v>1750</v>
      </c>
      <c r="D28" s="102"/>
      <c r="E28" s="102"/>
    </row>
    <row r="29" spans="1:8" s="9" customFormat="1" ht="13.5" customHeight="1" hidden="1">
      <c r="A29" s="13" t="s">
        <v>173</v>
      </c>
      <c r="B29" s="24" t="s">
        <v>135</v>
      </c>
      <c r="C29" s="821">
        <v>2900</v>
      </c>
      <c r="D29" s="115"/>
      <c r="E29" s="26"/>
      <c r="F29" s="286"/>
      <c r="G29" s="71"/>
      <c r="H29" s="109"/>
    </row>
    <row r="30" spans="1:8" s="9" customFormat="1" ht="13.5" customHeight="1" thickBot="1">
      <c r="A30" s="13"/>
      <c r="B30" s="25"/>
      <c r="C30" s="25"/>
      <c r="D30" s="115"/>
      <c r="E30" s="26"/>
      <c r="F30" s="286"/>
      <c r="G30" s="71"/>
      <c r="H30" s="109"/>
    </row>
    <row r="31" spans="1:5" s="100" customFormat="1" ht="14.25" thickBot="1">
      <c r="A31" s="957" t="s">
        <v>3</v>
      </c>
      <c r="B31" s="958"/>
      <c r="C31" s="98">
        <f>C32+C34+C36</f>
        <v>301900</v>
      </c>
      <c r="D31" s="102"/>
      <c r="E31" s="102"/>
    </row>
    <row r="32" spans="1:9" s="9" customFormat="1" ht="13.5" customHeight="1">
      <c r="A32" s="813" t="s">
        <v>130</v>
      </c>
      <c r="B32" s="814" t="s">
        <v>131</v>
      </c>
      <c r="C32" s="33">
        <f>SUM(C33)</f>
        <v>4350</v>
      </c>
      <c r="D32" s="115"/>
      <c r="E32" s="26"/>
      <c r="F32" s="140"/>
      <c r="G32" s="71"/>
      <c r="H32" s="57"/>
      <c r="I32" s="123"/>
    </row>
    <row r="33" spans="1:8" s="9" customFormat="1" ht="13.5" customHeight="1" hidden="1">
      <c r="A33" s="86" t="s">
        <v>148</v>
      </c>
      <c r="B33" s="86" t="s">
        <v>77</v>
      </c>
      <c r="C33" s="821">
        <v>4350</v>
      </c>
      <c r="D33" s="115"/>
      <c r="E33" s="26"/>
      <c r="F33" s="280"/>
      <c r="G33" s="71"/>
      <c r="H33" s="71"/>
    </row>
    <row r="34" spans="1:8" s="9" customFormat="1" ht="13.5" customHeight="1">
      <c r="A34" s="353" t="s">
        <v>122</v>
      </c>
      <c r="B34" s="26" t="s">
        <v>175</v>
      </c>
      <c r="C34" s="33">
        <f>SUM(C35)</f>
        <v>192350</v>
      </c>
      <c r="D34" s="115"/>
      <c r="E34" s="26"/>
      <c r="F34" s="280"/>
      <c r="G34" s="71"/>
      <c r="H34" s="71"/>
    </row>
    <row r="35" spans="1:6" s="78" customFormat="1" ht="13.5" customHeight="1" hidden="1">
      <c r="A35" s="107" t="s">
        <v>53</v>
      </c>
      <c r="B35" s="24" t="s">
        <v>97</v>
      </c>
      <c r="C35" s="822">
        <f>176200+16150</f>
        <v>192350</v>
      </c>
      <c r="F35" s="79" t="s">
        <v>1195</v>
      </c>
    </row>
    <row r="36" spans="1:6" s="78" customFormat="1" ht="13.5">
      <c r="A36" s="353" t="s">
        <v>125</v>
      </c>
      <c r="B36" s="26" t="s">
        <v>8</v>
      </c>
      <c r="C36" s="96">
        <f>SUM(C37:C40)</f>
        <v>105200</v>
      </c>
      <c r="F36" s="79"/>
    </row>
    <row r="37" spans="1:9" s="78" customFormat="1" ht="13.5" customHeight="1" hidden="1">
      <c r="A37" s="107" t="s">
        <v>102</v>
      </c>
      <c r="B37" s="24" t="s">
        <v>8</v>
      </c>
      <c r="C37" s="822">
        <f>82500+5900</f>
        <v>88400</v>
      </c>
      <c r="F37" s="79" t="s">
        <v>1063</v>
      </c>
      <c r="G37" s="100"/>
      <c r="H37" s="100"/>
      <c r="I37" s="100"/>
    </row>
    <row r="38" spans="1:6" s="78" customFormat="1" ht="13.5" customHeight="1" hidden="1">
      <c r="A38" s="107" t="s">
        <v>205</v>
      </c>
      <c r="B38" s="24" t="s">
        <v>54</v>
      </c>
      <c r="C38" s="822">
        <f>3500+1000</f>
        <v>4500</v>
      </c>
      <c r="D38" s="96"/>
      <c r="E38" s="79"/>
      <c r="F38" s="79"/>
    </row>
    <row r="39" spans="1:6" s="100" customFormat="1" ht="13.5" customHeight="1" hidden="1">
      <c r="A39" s="107" t="s">
        <v>203</v>
      </c>
      <c r="B39" s="86" t="s">
        <v>202</v>
      </c>
      <c r="C39" s="822">
        <f>2200+500</f>
        <v>2700</v>
      </c>
      <c r="D39" s="87"/>
      <c r="E39" s="79"/>
      <c r="F39" s="79"/>
    </row>
    <row r="40" spans="1:9" s="100" customFormat="1" ht="13.5" customHeight="1" hidden="1">
      <c r="A40" s="107" t="s">
        <v>100</v>
      </c>
      <c r="B40" s="24" t="s">
        <v>7</v>
      </c>
      <c r="C40" s="822">
        <v>9600</v>
      </c>
      <c r="D40" s="26"/>
      <c r="E40" s="288"/>
      <c r="F40" s="79"/>
      <c r="G40" s="78"/>
      <c r="H40" s="78"/>
      <c r="I40" s="78"/>
    </row>
    <row r="41" spans="1:6" s="100" customFormat="1" ht="14.25" thickBot="1">
      <c r="A41" s="107"/>
      <c r="B41" s="86"/>
      <c r="C41" s="101"/>
      <c r="D41" s="87"/>
      <c r="E41" s="79"/>
      <c r="F41" s="79"/>
    </row>
    <row r="42" spans="1:5" s="100" customFormat="1" ht="14.25" thickBot="1">
      <c r="A42" s="959" t="s">
        <v>4</v>
      </c>
      <c r="B42" s="960"/>
      <c r="C42" s="103">
        <f>C43+C45+C47</f>
        <v>22840</v>
      </c>
      <c r="D42" s="102"/>
      <c r="E42" s="102"/>
    </row>
    <row r="43" spans="1:5" s="323" customFormat="1" ht="13.5">
      <c r="A43" s="353" t="s">
        <v>126</v>
      </c>
      <c r="B43" s="286" t="s">
        <v>127</v>
      </c>
      <c r="C43" s="816">
        <f>SUM(C44)</f>
        <v>7360</v>
      </c>
      <c r="D43" s="135"/>
      <c r="E43" s="135"/>
    </row>
    <row r="44" spans="1:5" s="100" customFormat="1" ht="13.5" customHeight="1" hidden="1">
      <c r="A44" s="107" t="s">
        <v>101</v>
      </c>
      <c r="B44" s="105" t="s">
        <v>152</v>
      </c>
      <c r="C44" s="822">
        <v>7360</v>
      </c>
      <c r="D44" s="102"/>
      <c r="E44" s="102"/>
    </row>
    <row r="45" spans="1:5" s="100" customFormat="1" ht="13.5" customHeight="1">
      <c r="A45" s="813" t="s">
        <v>142</v>
      </c>
      <c r="B45" s="813" t="s">
        <v>371</v>
      </c>
      <c r="C45" s="811">
        <f>SUM(C46)</f>
        <v>12280</v>
      </c>
      <c r="D45" s="102"/>
      <c r="E45" s="102"/>
    </row>
    <row r="46" spans="1:5" s="100" customFormat="1" ht="13.5" customHeight="1" hidden="1">
      <c r="A46" s="105" t="s">
        <v>185</v>
      </c>
      <c r="B46" s="105" t="s">
        <v>371</v>
      </c>
      <c r="C46" s="822">
        <v>12280</v>
      </c>
      <c r="D46" s="102"/>
      <c r="E46" s="102"/>
    </row>
    <row r="47" spans="1:5" s="100" customFormat="1" ht="13.5">
      <c r="A47" s="353" t="s">
        <v>188</v>
      </c>
      <c r="B47" s="26" t="s">
        <v>146</v>
      </c>
      <c r="C47" s="811">
        <f>SUM(C48)</f>
        <v>3200</v>
      </c>
      <c r="D47" s="102"/>
      <c r="E47" s="102"/>
    </row>
    <row r="48" spans="1:5" s="100" customFormat="1" ht="13.5" customHeight="1" hidden="1">
      <c r="A48" s="107" t="s">
        <v>189</v>
      </c>
      <c r="B48" s="24" t="s">
        <v>56</v>
      </c>
      <c r="C48" s="822">
        <v>3200</v>
      </c>
      <c r="D48" s="101"/>
      <c r="E48" s="102"/>
    </row>
    <row r="49" spans="3:5" s="100" customFormat="1" ht="12.75">
      <c r="C49" s="102"/>
      <c r="D49" s="102"/>
      <c r="E49" s="102"/>
    </row>
  </sheetData>
  <sheetProtection/>
  <mergeCells count="3">
    <mergeCell ref="A16:B16"/>
    <mergeCell ref="A31:B31"/>
    <mergeCell ref="A42:B42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Narrow,Normal"&amp;8Consejo Asesor Municipal
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958"/>
  <sheetViews>
    <sheetView workbookViewId="0" topLeftCell="A1">
      <selection activeCell="C271" sqref="C271"/>
    </sheetView>
  </sheetViews>
  <sheetFormatPr defaultColWidth="11.421875" defaultRowHeight="12.75"/>
  <cols>
    <col min="1" max="1" width="9.7109375" style="4" customWidth="1"/>
    <col min="2" max="2" width="46.7109375" style="41" customWidth="1"/>
    <col min="3" max="3" width="12.7109375" style="41" customWidth="1"/>
    <col min="4" max="4" width="10.7109375" style="42" customWidth="1"/>
    <col min="5" max="5" width="13.7109375" style="43" customWidth="1"/>
    <col min="6" max="6" width="17.28125" style="130" bestFit="1" customWidth="1"/>
    <col min="7" max="13" width="11.421875" style="303" customWidth="1"/>
    <col min="14" max="16384" width="11.421875" style="4" customWidth="1"/>
  </cols>
  <sheetData>
    <row r="1" spans="1:6" s="2" customFormat="1" ht="12.75">
      <c r="A1" s="6" t="s">
        <v>288</v>
      </c>
      <c r="B1" s="15"/>
      <c r="C1" s="15"/>
      <c r="D1" s="16"/>
      <c r="E1" s="17"/>
      <c r="F1" s="131"/>
    </row>
    <row r="2" spans="1:6" s="2" customFormat="1" ht="13.5" customHeight="1" thickBot="1">
      <c r="A2" s="1"/>
      <c r="B2" s="15"/>
      <c r="C2" s="15"/>
      <c r="D2" s="16"/>
      <c r="E2" s="18"/>
      <c r="F2" s="131"/>
    </row>
    <row r="3" spans="1:13" ht="12.75">
      <c r="A3" s="72" t="s">
        <v>1154</v>
      </c>
      <c r="B3" s="73"/>
      <c r="C3" s="74"/>
      <c r="D3" s="75" t="s">
        <v>6</v>
      </c>
      <c r="E3" s="76" t="s">
        <v>287</v>
      </c>
      <c r="F3" s="257"/>
      <c r="G3" s="256"/>
      <c r="H3" s="256"/>
      <c r="I3" s="256"/>
      <c r="J3" s="256"/>
      <c r="K3" s="256"/>
      <c r="L3" s="255"/>
      <c r="M3" s="255"/>
    </row>
    <row r="4" spans="1:13" ht="13.5" customHeight="1" thickBot="1">
      <c r="A4" s="81"/>
      <c r="B4" s="82"/>
      <c r="C4" s="83"/>
      <c r="D4" s="174"/>
      <c r="E4" s="173"/>
      <c r="F4" s="878"/>
      <c r="G4" s="879"/>
      <c r="H4" s="879"/>
      <c r="J4" s="256"/>
      <c r="K4" s="256"/>
      <c r="L4" s="255"/>
      <c r="M4" s="255"/>
    </row>
    <row r="5" spans="1:13" s="175" customFormat="1" ht="12.75" customHeight="1">
      <c r="A5" s="77" t="s">
        <v>1203</v>
      </c>
      <c r="B5" s="78"/>
      <c r="C5" s="79"/>
      <c r="D5" s="79"/>
      <c r="E5" s="80"/>
      <c r="F5" s="879"/>
      <c r="G5" s="879"/>
      <c r="H5" s="879"/>
      <c r="I5" s="260"/>
      <c r="J5" s="260"/>
      <c r="K5" s="260"/>
      <c r="L5" s="260"/>
      <c r="M5" s="260"/>
    </row>
    <row r="6" spans="1:13" ht="12.75" customHeight="1">
      <c r="A6" s="77" t="s">
        <v>1204</v>
      </c>
      <c r="B6" s="78"/>
      <c r="C6" s="79"/>
      <c r="D6" s="79"/>
      <c r="E6" s="80"/>
      <c r="F6" s="879"/>
      <c r="G6" s="879"/>
      <c r="H6" s="879"/>
      <c r="J6" s="923"/>
      <c r="K6" s="256"/>
      <c r="L6" s="255"/>
      <c r="M6" s="255"/>
    </row>
    <row r="7" spans="1:13" ht="12.75">
      <c r="A7" s="261" t="s">
        <v>1205</v>
      </c>
      <c r="B7" s="78"/>
      <c r="C7" s="79"/>
      <c r="D7" s="79"/>
      <c r="E7" s="80"/>
      <c r="H7" s="256"/>
      <c r="J7" s="923"/>
      <c r="K7" s="256"/>
      <c r="L7" s="255"/>
      <c r="M7" s="255"/>
    </row>
    <row r="8" spans="1:13" ht="12.75">
      <c r="A8" s="77" t="s">
        <v>1206</v>
      </c>
      <c r="B8" s="78"/>
      <c r="C8" s="79"/>
      <c r="D8" s="79"/>
      <c r="E8" s="80"/>
      <c r="H8" s="256"/>
      <c r="J8" s="256"/>
      <c r="K8" s="256"/>
      <c r="L8" s="255"/>
      <c r="M8" s="255"/>
    </row>
    <row r="9" spans="1:13" ht="12.75">
      <c r="A9" s="77" t="s">
        <v>1207</v>
      </c>
      <c r="B9" s="78"/>
      <c r="C9" s="79"/>
      <c r="D9" s="79"/>
      <c r="E9" s="80"/>
      <c r="F9" s="257"/>
      <c r="H9" s="256"/>
      <c r="I9" s="256"/>
      <c r="J9" s="256"/>
      <c r="K9" s="256"/>
      <c r="L9" s="255"/>
      <c r="M9" s="255"/>
    </row>
    <row r="10" spans="1:13" ht="13.5" customHeight="1" thickBot="1">
      <c r="A10" s="81" t="s">
        <v>1208</v>
      </c>
      <c r="B10" s="82"/>
      <c r="C10" s="83"/>
      <c r="D10" s="83"/>
      <c r="E10" s="84"/>
      <c r="F10" s="257"/>
      <c r="G10" s="256"/>
      <c r="H10" s="256"/>
      <c r="I10" s="256"/>
      <c r="J10" s="256"/>
      <c r="K10" s="256"/>
      <c r="L10" s="255"/>
      <c r="M10" s="255"/>
    </row>
    <row r="11" spans="1:13" ht="13.5">
      <c r="A11" s="85" t="s">
        <v>1365</v>
      </c>
      <c r="B11" s="86"/>
      <c r="C11" s="87"/>
      <c r="D11" s="87"/>
      <c r="E11" s="88"/>
      <c r="F11" s="257"/>
      <c r="G11" s="256"/>
      <c r="H11" s="256"/>
      <c r="I11" s="256"/>
      <c r="J11" s="256"/>
      <c r="K11" s="256"/>
      <c r="L11" s="255"/>
      <c r="M11" s="255"/>
    </row>
    <row r="12" spans="1:13" s="175" customFormat="1" ht="13.5">
      <c r="A12" s="85" t="s">
        <v>225</v>
      </c>
      <c r="B12" s="86"/>
      <c r="C12" s="87"/>
      <c r="D12" s="87"/>
      <c r="E12" s="88"/>
      <c r="F12" s="257"/>
      <c r="G12" s="260"/>
      <c r="H12" s="260"/>
      <c r="I12" s="260"/>
      <c r="J12" s="260"/>
      <c r="K12" s="260"/>
      <c r="L12" s="260"/>
      <c r="M12" s="260"/>
    </row>
    <row r="13" spans="1:6" s="260" customFormat="1" ht="13.5" customHeight="1">
      <c r="A13" s="85" t="s">
        <v>1421</v>
      </c>
      <c r="B13" s="86"/>
      <c r="C13" s="87"/>
      <c r="D13" s="87"/>
      <c r="E13" s="88"/>
      <c r="F13" s="257"/>
    </row>
    <row r="14" spans="1:11" s="255" customFormat="1" ht="14.25" thickBot="1">
      <c r="A14" s="85" t="s">
        <v>16</v>
      </c>
      <c r="B14" s="86"/>
      <c r="C14" s="87"/>
      <c r="D14" s="87"/>
      <c r="E14" s="88"/>
      <c r="F14" s="257"/>
      <c r="G14" s="256"/>
      <c r="H14" s="256"/>
      <c r="I14" s="256"/>
      <c r="J14" s="256"/>
      <c r="K14" s="256"/>
    </row>
    <row r="15" spans="1:11" s="255" customFormat="1" ht="14.25" thickBot="1">
      <c r="A15" s="89" t="s">
        <v>17</v>
      </c>
      <c r="B15" s="90"/>
      <c r="C15" s="91"/>
      <c r="D15" s="92"/>
      <c r="E15" s="93">
        <f>C17+C40+C55+C72+C79</f>
        <v>33066309</v>
      </c>
      <c r="F15" s="257"/>
      <c r="G15" s="256"/>
      <c r="H15" s="256"/>
      <c r="I15" s="256"/>
      <c r="J15" s="256"/>
      <c r="K15" s="256"/>
    </row>
    <row r="16" spans="1:11" s="255" customFormat="1" ht="14.25" thickBot="1">
      <c r="A16" s="95"/>
      <c r="B16" s="95"/>
      <c r="C16" s="96"/>
      <c r="D16" s="96"/>
      <c r="E16" s="825"/>
      <c r="F16" s="825"/>
      <c r="G16" s="256"/>
      <c r="H16" s="256"/>
      <c r="I16" s="256"/>
      <c r="J16" s="256"/>
      <c r="K16" s="256"/>
    </row>
    <row r="17" spans="1:11" s="255" customFormat="1" ht="14.25" thickBot="1">
      <c r="A17" s="961" t="s">
        <v>1</v>
      </c>
      <c r="B17" s="962"/>
      <c r="C17" s="259">
        <f>C18+C25+C32</f>
        <v>6865369</v>
      </c>
      <c r="D17" s="96" t="s">
        <v>224</v>
      </c>
      <c r="E17" s="258"/>
      <c r="F17" s="257"/>
      <c r="G17" s="256"/>
      <c r="H17" s="256"/>
      <c r="I17" s="256"/>
      <c r="J17" s="256"/>
      <c r="K17" s="256"/>
    </row>
    <row r="18" spans="1:11" s="255" customFormat="1" ht="13.5">
      <c r="A18" s="12" t="s">
        <v>107</v>
      </c>
      <c r="B18" s="286" t="s">
        <v>108</v>
      </c>
      <c r="C18" s="96">
        <f>SUM(C19:C24)</f>
        <v>2036079</v>
      </c>
      <c r="D18" s="96"/>
      <c r="E18" s="258"/>
      <c r="F18" s="257"/>
      <c r="G18" s="256"/>
      <c r="H18" s="256"/>
      <c r="I18" s="256"/>
      <c r="J18" s="256"/>
      <c r="K18" s="256"/>
    </row>
    <row r="19" spans="1:13" s="9" customFormat="1" ht="13.5" hidden="1">
      <c r="A19" s="13" t="s">
        <v>27</v>
      </c>
      <c r="B19" s="25" t="s">
        <v>24</v>
      </c>
      <c r="C19" s="821">
        <v>1481908</v>
      </c>
      <c r="D19" s="23"/>
      <c r="E19" s="33"/>
      <c r="F19" s="135"/>
      <c r="G19" s="57"/>
      <c r="H19" s="57"/>
      <c r="I19" s="57"/>
      <c r="J19" s="57"/>
      <c r="K19" s="57"/>
      <c r="L19" s="57"/>
      <c r="M19" s="57"/>
    </row>
    <row r="20" spans="1:13" s="10" customFormat="1" ht="13.5" hidden="1">
      <c r="A20" s="13" t="s">
        <v>28</v>
      </c>
      <c r="B20" s="25" t="s">
        <v>26</v>
      </c>
      <c r="C20" s="821">
        <f>278769+62724</f>
        <v>341493</v>
      </c>
      <c r="D20" s="23"/>
      <c r="E20" s="33"/>
      <c r="F20" s="135"/>
      <c r="G20" s="108"/>
      <c r="H20" s="108"/>
      <c r="I20" s="108"/>
      <c r="J20" s="108"/>
      <c r="K20" s="108"/>
      <c r="L20" s="108"/>
      <c r="M20" s="108"/>
    </row>
    <row r="21" spans="1:13" s="10" customFormat="1" ht="13.5" hidden="1">
      <c r="A21" s="13" t="s">
        <v>29</v>
      </c>
      <c r="B21" s="25" t="s">
        <v>86</v>
      </c>
      <c r="C21" s="821">
        <f>25000+61754+1100</f>
        <v>87854</v>
      </c>
      <c r="D21" s="23"/>
      <c r="E21" s="46"/>
      <c r="F21" s="135"/>
      <c r="G21" s="108"/>
      <c r="H21" s="108"/>
      <c r="I21" s="108"/>
      <c r="J21" s="108"/>
      <c r="K21" s="108"/>
      <c r="L21" s="108"/>
      <c r="M21" s="108"/>
    </row>
    <row r="22" spans="1:13" s="10" customFormat="1" ht="13.5" hidden="1">
      <c r="A22" s="13" t="s">
        <v>30</v>
      </c>
      <c r="B22" s="25" t="s">
        <v>87</v>
      </c>
      <c r="C22" s="821">
        <v>1</v>
      </c>
      <c r="D22" s="23"/>
      <c r="E22" s="46"/>
      <c r="F22" s="135"/>
      <c r="G22" s="108"/>
      <c r="H22" s="108"/>
      <c r="I22" s="108"/>
      <c r="J22" s="108"/>
      <c r="K22" s="108"/>
      <c r="L22" s="108"/>
      <c r="M22" s="108"/>
    </row>
    <row r="23" spans="1:13" s="9" customFormat="1" ht="13.5" hidden="1">
      <c r="A23" s="13" t="s">
        <v>31</v>
      </c>
      <c r="B23" s="25" t="s">
        <v>25</v>
      </c>
      <c r="C23" s="821">
        <f>5244+45156</f>
        <v>50400</v>
      </c>
      <c r="D23" s="23"/>
      <c r="E23" s="46"/>
      <c r="F23" s="135"/>
      <c r="G23" s="57"/>
      <c r="H23" s="57"/>
      <c r="I23" s="57"/>
      <c r="J23" s="57"/>
      <c r="K23" s="57"/>
      <c r="L23" s="57"/>
      <c r="M23" s="57"/>
    </row>
    <row r="24" spans="1:13" s="10" customFormat="1" ht="13.5" hidden="1">
      <c r="A24" s="13" t="s">
        <v>32</v>
      </c>
      <c r="B24" s="25" t="s">
        <v>23</v>
      </c>
      <c r="C24" s="821">
        <f>74423</f>
        <v>74423</v>
      </c>
      <c r="D24" s="23"/>
      <c r="E24" s="46"/>
      <c r="F24" s="70"/>
      <c r="G24" s="108"/>
      <c r="H24" s="108"/>
      <c r="I24" s="108"/>
      <c r="J24" s="108"/>
      <c r="K24" s="108"/>
      <c r="L24" s="108"/>
      <c r="M24" s="108"/>
    </row>
    <row r="25" spans="1:13" s="10" customFormat="1" ht="13.5">
      <c r="A25" s="12" t="s">
        <v>109</v>
      </c>
      <c r="B25" s="33" t="s">
        <v>110</v>
      </c>
      <c r="C25" s="33">
        <f>SUM(C26:C31)</f>
        <v>3587464</v>
      </c>
      <c r="D25" s="23"/>
      <c r="E25" s="46"/>
      <c r="F25" s="70"/>
      <c r="G25" s="108"/>
      <c r="H25" s="108"/>
      <c r="I25" s="108"/>
      <c r="J25" s="108"/>
      <c r="K25" s="108"/>
      <c r="L25" s="108"/>
      <c r="M25" s="108"/>
    </row>
    <row r="26" spans="1:13" s="9" customFormat="1" ht="13.5" hidden="1">
      <c r="A26" s="13" t="s">
        <v>34</v>
      </c>
      <c r="B26" s="25" t="s">
        <v>88</v>
      </c>
      <c r="C26" s="821">
        <v>2787620</v>
      </c>
      <c r="D26" s="23"/>
      <c r="E26" s="33"/>
      <c r="F26" s="70"/>
      <c r="G26" s="57"/>
      <c r="H26" s="57"/>
      <c r="I26" s="57"/>
      <c r="J26" s="57"/>
      <c r="K26" s="57"/>
      <c r="L26" s="57"/>
      <c r="M26" s="57"/>
    </row>
    <row r="27" spans="1:13" s="10" customFormat="1" ht="13.5" hidden="1">
      <c r="A27" s="13" t="s">
        <v>35</v>
      </c>
      <c r="B27" s="25" t="s">
        <v>89</v>
      </c>
      <c r="C27" s="821">
        <f>557524+125443</f>
        <v>682967</v>
      </c>
      <c r="D27" s="23"/>
      <c r="E27" s="33"/>
      <c r="F27" s="135"/>
      <c r="G27" s="108"/>
      <c r="H27" s="108"/>
      <c r="I27" s="108"/>
      <c r="J27" s="108"/>
      <c r="K27" s="108"/>
      <c r="L27" s="108"/>
      <c r="M27" s="108"/>
    </row>
    <row r="28" spans="1:13" s="10" customFormat="1" ht="13.5" hidden="1">
      <c r="A28" s="13" t="s">
        <v>36</v>
      </c>
      <c r="B28" s="25" t="s">
        <v>90</v>
      </c>
      <c r="C28" s="821">
        <f>116049+825</f>
        <v>116874</v>
      </c>
      <c r="D28" s="23"/>
      <c r="E28" s="33"/>
      <c r="F28" s="135"/>
      <c r="G28" s="108"/>
      <c r="H28" s="108"/>
      <c r="I28" s="108"/>
      <c r="J28" s="108"/>
      <c r="K28" s="108"/>
      <c r="L28" s="108"/>
      <c r="M28" s="108"/>
    </row>
    <row r="29" spans="1:13" s="10" customFormat="1" ht="13.5" hidden="1">
      <c r="A29" s="13" t="s">
        <v>37</v>
      </c>
      <c r="B29" s="25" t="s">
        <v>91</v>
      </c>
      <c r="C29" s="821">
        <v>1</v>
      </c>
      <c r="D29" s="23"/>
      <c r="E29" s="26"/>
      <c r="F29" s="135"/>
      <c r="G29" s="108"/>
      <c r="H29" s="108"/>
      <c r="I29" s="108"/>
      <c r="J29" s="108"/>
      <c r="K29" s="108"/>
      <c r="L29" s="108"/>
      <c r="M29" s="108"/>
    </row>
    <row r="30" spans="1:13" s="9" customFormat="1" ht="13.5" hidden="1">
      <c r="A30" s="13" t="s">
        <v>38</v>
      </c>
      <c r="B30" s="25" t="s">
        <v>33</v>
      </c>
      <c r="C30" s="821">
        <v>1</v>
      </c>
      <c r="D30" s="23"/>
      <c r="E30" s="26"/>
      <c r="F30" s="135"/>
      <c r="G30" s="57"/>
      <c r="H30" s="57"/>
      <c r="I30" s="57"/>
      <c r="J30" s="57"/>
      <c r="K30" s="57"/>
      <c r="L30" s="57"/>
      <c r="M30" s="57"/>
    </row>
    <row r="31" spans="1:13" s="10" customFormat="1" ht="13.5" hidden="1">
      <c r="A31" s="13" t="s">
        <v>93</v>
      </c>
      <c r="B31" s="25" t="s">
        <v>92</v>
      </c>
      <c r="C31" s="821">
        <v>1</v>
      </c>
      <c r="D31" s="23"/>
      <c r="E31" s="26"/>
      <c r="F31" s="70"/>
      <c r="G31" s="108"/>
      <c r="H31" s="108"/>
      <c r="I31" s="108"/>
      <c r="J31" s="108"/>
      <c r="K31" s="108"/>
      <c r="L31" s="108"/>
      <c r="M31" s="108"/>
    </row>
    <row r="32" spans="1:13" s="10" customFormat="1" ht="13.5">
      <c r="A32" s="12" t="s">
        <v>111</v>
      </c>
      <c r="B32" s="33" t="s">
        <v>112</v>
      </c>
      <c r="C32" s="33">
        <f>SUM(C33:C38)</f>
        <v>1241826</v>
      </c>
      <c r="D32" s="23"/>
      <c r="E32" s="26"/>
      <c r="F32" s="70"/>
      <c r="G32" s="108"/>
      <c r="H32" s="108"/>
      <c r="I32" s="108"/>
      <c r="J32" s="108"/>
      <c r="K32" s="108"/>
      <c r="L32" s="108"/>
      <c r="M32" s="108"/>
    </row>
    <row r="33" spans="1:13" s="9" customFormat="1" ht="13.5" hidden="1">
      <c r="A33" s="13" t="s">
        <v>43</v>
      </c>
      <c r="B33" s="25" t="s">
        <v>39</v>
      </c>
      <c r="C33" s="821">
        <v>963845</v>
      </c>
      <c r="D33" s="23"/>
      <c r="E33" s="26"/>
      <c r="F33" s="135"/>
      <c r="G33" s="57"/>
      <c r="H33" s="57"/>
      <c r="I33" s="57"/>
      <c r="J33" s="57"/>
      <c r="K33" s="57"/>
      <c r="L33" s="57"/>
      <c r="M33" s="57"/>
    </row>
    <row r="34" spans="1:13" s="10" customFormat="1" ht="13.5" hidden="1">
      <c r="A34" s="13" t="s">
        <v>44</v>
      </c>
      <c r="B34" s="25" t="s">
        <v>41</v>
      </c>
      <c r="C34" s="821">
        <f>192769+43373</f>
        <v>236142</v>
      </c>
      <c r="D34" s="23"/>
      <c r="E34" s="26"/>
      <c r="F34" s="135"/>
      <c r="G34" s="108"/>
      <c r="H34" s="108"/>
      <c r="I34" s="108"/>
      <c r="J34" s="108"/>
      <c r="K34" s="108"/>
      <c r="L34" s="108"/>
      <c r="M34" s="108"/>
    </row>
    <row r="35" spans="1:13" s="10" customFormat="1" ht="13.5" hidden="1">
      <c r="A35" s="13" t="s">
        <v>45</v>
      </c>
      <c r="B35" s="25" t="s">
        <v>94</v>
      </c>
      <c r="C35" s="821">
        <f>40186+1650</f>
        <v>41836</v>
      </c>
      <c r="D35" s="23"/>
      <c r="E35" s="26"/>
      <c r="F35" s="135"/>
      <c r="G35" s="108"/>
      <c r="H35" s="108"/>
      <c r="I35" s="108"/>
      <c r="J35" s="108"/>
      <c r="K35" s="108"/>
      <c r="L35" s="108"/>
      <c r="M35" s="108"/>
    </row>
    <row r="36" spans="1:13" s="10" customFormat="1" ht="13.5" hidden="1">
      <c r="A36" s="13" t="s">
        <v>46</v>
      </c>
      <c r="B36" s="25" t="s">
        <v>95</v>
      </c>
      <c r="C36" s="821">
        <v>1</v>
      </c>
      <c r="D36" s="23"/>
      <c r="E36" s="26"/>
      <c r="F36" s="135"/>
      <c r="G36" s="108"/>
      <c r="H36" s="108"/>
      <c r="I36" s="108"/>
      <c r="J36" s="108"/>
      <c r="K36" s="108"/>
      <c r="L36" s="108"/>
      <c r="M36" s="108"/>
    </row>
    <row r="37" spans="1:13" s="9" customFormat="1" ht="13.5" hidden="1">
      <c r="A37" s="13" t="s">
        <v>47</v>
      </c>
      <c r="B37" s="25" t="s">
        <v>40</v>
      </c>
      <c r="C37" s="821">
        <v>1</v>
      </c>
      <c r="D37" s="23"/>
      <c r="E37" s="26"/>
      <c r="F37" s="135"/>
      <c r="G37" s="57"/>
      <c r="H37" s="57"/>
      <c r="I37" s="57"/>
      <c r="J37" s="57"/>
      <c r="K37" s="57"/>
      <c r="L37" s="57"/>
      <c r="M37" s="57"/>
    </row>
    <row r="38" spans="1:13" s="10" customFormat="1" ht="13.5" hidden="1">
      <c r="A38" s="13" t="s">
        <v>48</v>
      </c>
      <c r="B38" s="25" t="s">
        <v>42</v>
      </c>
      <c r="C38" s="821">
        <v>1</v>
      </c>
      <c r="D38" s="23"/>
      <c r="E38" s="26"/>
      <c r="F38" s="70"/>
      <c r="G38" s="108"/>
      <c r="H38" s="108"/>
      <c r="I38" s="108"/>
      <c r="J38" s="108"/>
      <c r="K38" s="108"/>
      <c r="L38" s="108"/>
      <c r="M38" s="108"/>
    </row>
    <row r="39" spans="1:13" s="10" customFormat="1" ht="14.25" thickBot="1">
      <c r="A39" s="13"/>
      <c r="B39" s="25"/>
      <c r="C39" s="25"/>
      <c r="D39" s="23"/>
      <c r="E39" s="26"/>
      <c r="F39" s="70"/>
      <c r="G39" s="108"/>
      <c r="H39" s="108"/>
      <c r="I39" s="108"/>
      <c r="J39" s="108"/>
      <c r="K39" s="108"/>
      <c r="L39" s="108"/>
      <c r="M39" s="108"/>
    </row>
    <row r="40" spans="1:13" s="222" customFormat="1" ht="14.25" thickBot="1">
      <c r="A40" s="955" t="s">
        <v>2</v>
      </c>
      <c r="B40" s="956"/>
      <c r="C40" s="97">
        <f>C41+C43+C46+C48+C50+C52</f>
        <v>266300</v>
      </c>
      <c r="D40" s="102"/>
      <c r="E40" s="102"/>
      <c r="F40" s="251"/>
      <c r="G40" s="250"/>
      <c r="H40" s="250"/>
      <c r="I40" s="250"/>
      <c r="J40" s="250"/>
      <c r="K40" s="250"/>
      <c r="L40" s="109"/>
      <c r="M40" s="109"/>
    </row>
    <row r="41" spans="1:13" s="222" customFormat="1" ht="13.5" customHeight="1">
      <c r="A41" s="12" t="s">
        <v>113</v>
      </c>
      <c r="B41" s="286" t="s">
        <v>114</v>
      </c>
      <c r="C41" s="96">
        <f>SUM(C42)</f>
        <v>143000</v>
      </c>
      <c r="D41" s="102"/>
      <c r="E41" s="102"/>
      <c r="F41" s="251"/>
      <c r="G41" s="250"/>
      <c r="H41" s="250"/>
      <c r="I41" s="250"/>
      <c r="J41" s="250"/>
      <c r="K41" s="250"/>
      <c r="L41" s="109"/>
      <c r="M41" s="109"/>
    </row>
    <row r="42" spans="1:7" s="57" customFormat="1" ht="13.5" customHeight="1" hidden="1">
      <c r="A42" s="13" t="s">
        <v>50</v>
      </c>
      <c r="B42" s="9" t="s">
        <v>49</v>
      </c>
      <c r="C42" s="821">
        <f>173000-30000</f>
        <v>143000</v>
      </c>
      <c r="E42" s="33"/>
      <c r="F42" s="137"/>
      <c r="G42" s="71"/>
    </row>
    <row r="43" spans="1:7" s="57" customFormat="1" ht="13.5" customHeight="1">
      <c r="A43" s="12" t="s">
        <v>115</v>
      </c>
      <c r="B43" s="791" t="s">
        <v>116</v>
      </c>
      <c r="C43" s="33">
        <f>SUM(C44:C45)</f>
        <v>18400</v>
      </c>
      <c r="E43" s="33"/>
      <c r="F43" s="23"/>
      <c r="G43" s="71"/>
    </row>
    <row r="44" spans="1:7" s="57" customFormat="1" ht="13.5" customHeight="1" hidden="1">
      <c r="A44" s="13" t="s">
        <v>72</v>
      </c>
      <c r="B44" s="9" t="s">
        <v>73</v>
      </c>
      <c r="C44" s="821">
        <v>8700</v>
      </c>
      <c r="E44" s="33"/>
      <c r="F44" s="23"/>
      <c r="G44" s="71"/>
    </row>
    <row r="45" spans="1:7" s="57" customFormat="1" ht="13.5" customHeight="1" hidden="1">
      <c r="A45" s="13" t="s">
        <v>96</v>
      </c>
      <c r="B45" s="9" t="s">
        <v>71</v>
      </c>
      <c r="C45" s="821">
        <v>9700</v>
      </c>
      <c r="E45" s="33"/>
      <c r="F45" s="23"/>
      <c r="G45" s="71"/>
    </row>
    <row r="46" spans="1:7" s="57" customFormat="1" ht="13.5" customHeight="1">
      <c r="A46" s="12" t="s">
        <v>117</v>
      </c>
      <c r="B46" s="791" t="s">
        <v>118</v>
      </c>
      <c r="C46" s="33">
        <f>SUM(C47)</f>
        <v>24840</v>
      </c>
      <c r="E46" s="33"/>
      <c r="F46" s="23"/>
      <c r="G46" s="71"/>
    </row>
    <row r="47" spans="1:13" s="222" customFormat="1" ht="13.5" hidden="1">
      <c r="A47" s="13" t="s">
        <v>51</v>
      </c>
      <c r="B47" s="24" t="s">
        <v>52</v>
      </c>
      <c r="C47" s="821">
        <v>24840</v>
      </c>
      <c r="E47" s="102"/>
      <c r="F47" s="79"/>
      <c r="G47" s="250"/>
      <c r="H47" s="250"/>
      <c r="I47" s="250"/>
      <c r="J47" s="250"/>
      <c r="K47" s="250"/>
      <c r="L47" s="109"/>
      <c r="M47" s="109"/>
    </row>
    <row r="48" spans="1:13" s="222" customFormat="1" ht="13.5">
      <c r="A48" s="12" t="s">
        <v>219</v>
      </c>
      <c r="B48" s="26" t="s">
        <v>218</v>
      </c>
      <c r="C48" s="26">
        <f>SUM(C49)</f>
        <v>28100</v>
      </c>
      <c r="E48" s="102"/>
      <c r="F48" s="79"/>
      <c r="G48" s="250"/>
      <c r="H48" s="250"/>
      <c r="I48" s="250"/>
      <c r="J48" s="250"/>
      <c r="K48" s="250"/>
      <c r="L48" s="109"/>
      <c r="M48" s="109"/>
    </row>
    <row r="49" spans="1:13" s="222" customFormat="1" ht="13.5" hidden="1">
      <c r="A49" s="13" t="s">
        <v>217</v>
      </c>
      <c r="B49" s="25" t="s">
        <v>252</v>
      </c>
      <c r="C49" s="821">
        <v>28100</v>
      </c>
      <c r="E49" s="102"/>
      <c r="F49" s="79"/>
      <c r="G49" s="250"/>
      <c r="H49" s="250"/>
      <c r="I49" s="250"/>
      <c r="J49" s="250"/>
      <c r="K49" s="250"/>
      <c r="L49" s="109"/>
      <c r="M49" s="109"/>
    </row>
    <row r="50" spans="1:13" s="222" customFormat="1" ht="13.5">
      <c r="A50" s="353" t="s">
        <v>129</v>
      </c>
      <c r="B50" s="26" t="s">
        <v>119</v>
      </c>
      <c r="C50" s="26">
        <f>SUM(C51)</f>
        <v>5460</v>
      </c>
      <c r="E50" s="102"/>
      <c r="F50" s="79"/>
      <c r="G50" s="250"/>
      <c r="H50" s="250"/>
      <c r="I50" s="250"/>
      <c r="J50" s="250"/>
      <c r="K50" s="250"/>
      <c r="L50" s="109"/>
      <c r="M50" s="109"/>
    </row>
    <row r="51" spans="1:13" s="100" customFormat="1" ht="13.5" hidden="1">
      <c r="A51" s="107" t="s">
        <v>168</v>
      </c>
      <c r="B51" s="24" t="s">
        <v>74</v>
      </c>
      <c r="C51" s="822">
        <v>5460</v>
      </c>
      <c r="E51" s="102"/>
      <c r="F51" s="79"/>
      <c r="G51" s="78"/>
      <c r="H51" s="78"/>
      <c r="I51" s="78"/>
      <c r="J51" s="78"/>
      <c r="K51" s="78"/>
      <c r="L51" s="78"/>
      <c r="M51" s="78"/>
    </row>
    <row r="52" spans="1:13" s="100" customFormat="1" ht="13.5">
      <c r="A52" s="353" t="s">
        <v>169</v>
      </c>
      <c r="B52" s="26" t="s">
        <v>144</v>
      </c>
      <c r="C52" s="811">
        <f>SUM(C53)</f>
        <v>46500</v>
      </c>
      <c r="E52" s="102"/>
      <c r="F52" s="79"/>
      <c r="G52" s="78"/>
      <c r="H52" s="78"/>
      <c r="I52" s="78"/>
      <c r="J52" s="78"/>
      <c r="K52" s="78"/>
      <c r="L52" s="78"/>
      <c r="M52" s="78"/>
    </row>
    <row r="53" spans="1:13" s="222" customFormat="1" ht="13.5" hidden="1">
      <c r="A53" s="107" t="s">
        <v>172</v>
      </c>
      <c r="B53" s="24" t="s">
        <v>144</v>
      </c>
      <c r="C53" s="821">
        <v>46500</v>
      </c>
      <c r="E53" s="102"/>
      <c r="F53" s="79"/>
      <c r="G53" s="250"/>
      <c r="H53" s="250"/>
      <c r="I53" s="250"/>
      <c r="J53" s="250"/>
      <c r="K53" s="250"/>
      <c r="L53" s="109"/>
      <c r="M53" s="109"/>
    </row>
    <row r="54" spans="1:13" s="222" customFormat="1" ht="14.25" thickBot="1">
      <c r="A54" s="107"/>
      <c r="B54" s="24"/>
      <c r="C54" s="24"/>
      <c r="E54" s="102"/>
      <c r="F54" s="79"/>
      <c r="G54" s="250"/>
      <c r="H54" s="250"/>
      <c r="I54" s="250"/>
      <c r="J54" s="250"/>
      <c r="K54" s="250"/>
      <c r="L54" s="109"/>
      <c r="M54" s="109"/>
    </row>
    <row r="55" spans="1:13" s="222" customFormat="1" ht="14.25" thickBot="1">
      <c r="A55" s="957" t="s">
        <v>3</v>
      </c>
      <c r="B55" s="958"/>
      <c r="C55" s="98">
        <f>C56+C58+C60+C63+C65+C67</f>
        <v>566480</v>
      </c>
      <c r="E55" s="102"/>
      <c r="F55" s="79"/>
      <c r="G55" s="250"/>
      <c r="H55" s="250"/>
      <c r="I55" s="250"/>
      <c r="J55" s="250"/>
      <c r="K55" s="250"/>
      <c r="L55" s="109"/>
      <c r="M55" s="109"/>
    </row>
    <row r="56" spans="1:11" s="109" customFormat="1" ht="13.5">
      <c r="A56" s="95" t="s">
        <v>120</v>
      </c>
      <c r="B56" s="286" t="s">
        <v>121</v>
      </c>
      <c r="C56" s="96">
        <f>SUM(C57)</f>
        <v>20700</v>
      </c>
      <c r="E56" s="79"/>
      <c r="F56" s="79"/>
      <c r="G56" s="250"/>
      <c r="H56" s="250"/>
      <c r="I56" s="250"/>
      <c r="J56" s="250"/>
      <c r="K56" s="250"/>
    </row>
    <row r="57" spans="1:13" s="100" customFormat="1" ht="13.5" hidden="1">
      <c r="A57" s="86" t="s">
        <v>57</v>
      </c>
      <c r="B57" s="86" t="s">
        <v>18</v>
      </c>
      <c r="C57" s="822">
        <v>20700</v>
      </c>
      <c r="F57" s="79"/>
      <c r="G57" s="78"/>
      <c r="H57" s="78"/>
      <c r="I57" s="78"/>
      <c r="J57" s="78"/>
      <c r="K57" s="78"/>
      <c r="L57" s="78"/>
      <c r="M57" s="78"/>
    </row>
    <row r="58" spans="1:13" s="100" customFormat="1" ht="13.5">
      <c r="A58" s="813" t="s">
        <v>130</v>
      </c>
      <c r="B58" s="814" t="s">
        <v>131</v>
      </c>
      <c r="C58" s="33">
        <f>SUM(C59:C59)</f>
        <v>12800</v>
      </c>
      <c r="F58" s="79"/>
      <c r="G58" s="78"/>
      <c r="H58" s="78"/>
      <c r="I58" s="78"/>
      <c r="J58" s="78"/>
      <c r="K58" s="78"/>
      <c r="L58" s="78"/>
      <c r="M58" s="78"/>
    </row>
    <row r="59" spans="1:13" s="100" customFormat="1" ht="13.5" hidden="1">
      <c r="A59" s="86" t="s">
        <v>148</v>
      </c>
      <c r="B59" s="86" t="s">
        <v>77</v>
      </c>
      <c r="C59" s="821">
        <v>12800</v>
      </c>
      <c r="F59" s="79"/>
      <c r="G59" s="78"/>
      <c r="H59" s="78"/>
      <c r="I59" s="78"/>
      <c r="J59" s="78"/>
      <c r="K59" s="78"/>
      <c r="L59" s="78"/>
      <c r="M59" s="78"/>
    </row>
    <row r="60" spans="1:13" s="100" customFormat="1" ht="13.5">
      <c r="A60" s="813" t="s">
        <v>122</v>
      </c>
      <c r="B60" s="95" t="s">
        <v>175</v>
      </c>
      <c r="C60" s="96">
        <f>SUM(C61:C62)</f>
        <v>121080</v>
      </c>
      <c r="F60" s="79"/>
      <c r="G60" s="78"/>
      <c r="H60" s="78"/>
      <c r="I60" s="78"/>
      <c r="J60" s="78"/>
      <c r="K60" s="78"/>
      <c r="L60" s="78"/>
      <c r="M60" s="78"/>
    </row>
    <row r="61" spans="1:13" s="100" customFormat="1" ht="13.5" hidden="1">
      <c r="A61" s="105" t="s">
        <v>150</v>
      </c>
      <c r="B61" s="86" t="s">
        <v>149</v>
      </c>
      <c r="C61" s="822">
        <v>6000</v>
      </c>
      <c r="F61" s="79"/>
      <c r="G61" s="78"/>
      <c r="H61" s="78"/>
      <c r="I61" s="78"/>
      <c r="J61" s="78"/>
      <c r="K61" s="78"/>
      <c r="L61" s="78"/>
      <c r="M61" s="78"/>
    </row>
    <row r="62" spans="1:13" s="100" customFormat="1" ht="13.5" hidden="1">
      <c r="A62" s="105" t="s">
        <v>174</v>
      </c>
      <c r="B62" s="105" t="s">
        <v>97</v>
      </c>
      <c r="C62" s="822">
        <f>95900*1.2</f>
        <v>115080</v>
      </c>
      <c r="F62" s="79"/>
      <c r="G62" s="78"/>
      <c r="H62" s="78"/>
      <c r="I62" s="78"/>
      <c r="J62" s="78"/>
      <c r="K62" s="78"/>
      <c r="L62" s="78"/>
      <c r="M62" s="78"/>
    </row>
    <row r="63" spans="1:13" s="100" customFormat="1" ht="13.5">
      <c r="A63" s="95" t="s">
        <v>123</v>
      </c>
      <c r="B63" s="813" t="s">
        <v>124</v>
      </c>
      <c r="C63" s="811">
        <f>SUM(C64)</f>
        <v>7000</v>
      </c>
      <c r="F63" s="79"/>
      <c r="G63" s="78"/>
      <c r="H63" s="78"/>
      <c r="I63" s="78"/>
      <c r="J63" s="78"/>
      <c r="K63" s="78"/>
      <c r="L63" s="78"/>
      <c r="M63" s="78"/>
    </row>
    <row r="64" spans="1:13" s="100" customFormat="1" ht="13.5" hidden="1">
      <c r="A64" s="86" t="s">
        <v>98</v>
      </c>
      <c r="B64" s="86" t="s">
        <v>69</v>
      </c>
      <c r="C64" s="822">
        <v>7000</v>
      </c>
      <c r="F64" s="79"/>
      <c r="G64" s="78"/>
      <c r="H64" s="78"/>
      <c r="I64" s="78"/>
      <c r="J64" s="78"/>
      <c r="K64" s="78"/>
      <c r="L64" s="78"/>
      <c r="M64" s="78"/>
    </row>
    <row r="65" spans="1:13" s="100" customFormat="1" ht="13.5">
      <c r="A65" s="813" t="s">
        <v>143</v>
      </c>
      <c r="B65" s="813" t="s">
        <v>61</v>
      </c>
      <c r="C65" s="96">
        <f>SUM(C66)</f>
        <v>150000</v>
      </c>
      <c r="E65" s="79"/>
      <c r="F65" s="148"/>
      <c r="G65" s="78"/>
      <c r="H65" s="78"/>
      <c r="I65" s="78"/>
      <c r="J65" s="78"/>
      <c r="K65" s="78"/>
      <c r="L65" s="78"/>
      <c r="M65" s="78"/>
    </row>
    <row r="66" spans="1:13" s="100" customFormat="1" ht="13.5" hidden="1">
      <c r="A66" s="105" t="s">
        <v>60</v>
      </c>
      <c r="B66" s="105" t="s">
        <v>61</v>
      </c>
      <c r="C66" s="822">
        <v>150000</v>
      </c>
      <c r="E66" s="101"/>
      <c r="F66" s="87"/>
      <c r="G66" s="78"/>
      <c r="H66" s="78"/>
      <c r="I66" s="78"/>
      <c r="J66" s="78"/>
      <c r="K66" s="78"/>
      <c r="L66" s="78"/>
      <c r="M66" s="78"/>
    </row>
    <row r="67" spans="1:13" s="100" customFormat="1" ht="13.5">
      <c r="A67" s="813" t="s">
        <v>125</v>
      </c>
      <c r="B67" s="813" t="s">
        <v>8</v>
      </c>
      <c r="C67" s="811">
        <f>SUM(C68:C70)</f>
        <v>254900</v>
      </c>
      <c r="F67" s="79"/>
      <c r="G67" s="78"/>
      <c r="H67" s="78"/>
      <c r="I67" s="78"/>
      <c r="J67" s="78"/>
      <c r="K67" s="78"/>
      <c r="L67" s="78"/>
      <c r="M67" s="78"/>
    </row>
    <row r="68" spans="1:13" s="100" customFormat="1" ht="13.5" hidden="1">
      <c r="A68" s="105" t="s">
        <v>99</v>
      </c>
      <c r="B68" s="105" t="s">
        <v>8</v>
      </c>
      <c r="C68" s="822">
        <f>244300-100000</f>
        <v>144300</v>
      </c>
      <c r="F68" s="79"/>
      <c r="G68" s="78"/>
      <c r="H68" s="78"/>
      <c r="I68" s="78"/>
      <c r="J68" s="78"/>
      <c r="K68" s="78"/>
      <c r="L68" s="78"/>
      <c r="M68" s="78"/>
    </row>
    <row r="69" spans="1:13" s="100" customFormat="1" ht="13.5" hidden="1">
      <c r="A69" s="105" t="s">
        <v>205</v>
      </c>
      <c r="B69" s="105" t="s">
        <v>54</v>
      </c>
      <c r="C69" s="822">
        <v>30800</v>
      </c>
      <c r="F69" s="79"/>
      <c r="G69" s="78"/>
      <c r="H69" s="78"/>
      <c r="I69" s="78"/>
      <c r="J69" s="78"/>
      <c r="K69" s="78"/>
      <c r="L69" s="78"/>
      <c r="M69" s="78"/>
    </row>
    <row r="70" spans="1:13" s="100" customFormat="1" ht="13.5" hidden="1">
      <c r="A70" s="105" t="s">
        <v>100</v>
      </c>
      <c r="B70" s="105" t="s">
        <v>7</v>
      </c>
      <c r="C70" s="822">
        <v>79800</v>
      </c>
      <c r="E70" s="102"/>
      <c r="F70" s="87"/>
      <c r="G70" s="78"/>
      <c r="H70" s="78"/>
      <c r="I70" s="78"/>
      <c r="J70" s="78"/>
      <c r="K70" s="78"/>
      <c r="L70" s="78"/>
      <c r="M70" s="78"/>
    </row>
    <row r="71" spans="1:13" s="222" customFormat="1" ht="14.25" thickBot="1">
      <c r="A71" s="184"/>
      <c r="B71" s="184"/>
      <c r="C71" s="254"/>
      <c r="D71" s="253"/>
      <c r="E71" s="184"/>
      <c r="F71" s="251"/>
      <c r="G71" s="250"/>
      <c r="H71" s="250"/>
      <c r="I71" s="250"/>
      <c r="J71" s="250"/>
      <c r="K71" s="250"/>
      <c r="L71" s="109"/>
      <c r="M71" s="109"/>
    </row>
    <row r="72" spans="1:13" s="9" customFormat="1" ht="14.25" thickBot="1">
      <c r="A72" s="953" t="s">
        <v>5</v>
      </c>
      <c r="B72" s="954"/>
      <c r="C72" s="37">
        <f>C73+C76</f>
        <v>25333700</v>
      </c>
      <c r="D72" s="115"/>
      <c r="E72" s="126"/>
      <c r="F72" s="135"/>
      <c r="G72" s="57"/>
      <c r="H72" s="57"/>
      <c r="I72" s="57"/>
      <c r="J72" s="57"/>
      <c r="K72" s="57"/>
      <c r="L72" s="57"/>
      <c r="M72" s="57"/>
    </row>
    <row r="73" spans="1:6" s="140" customFormat="1" ht="13.5">
      <c r="A73" s="353" t="s">
        <v>137</v>
      </c>
      <c r="B73" s="404" t="s">
        <v>286</v>
      </c>
      <c r="C73" s="34">
        <f>SUM(C74:C75)</f>
        <v>25265000</v>
      </c>
      <c r="D73" s="690"/>
      <c r="E73" s="252"/>
      <c r="F73" s="135"/>
    </row>
    <row r="74" spans="1:13" s="9" customFormat="1" ht="13.5" hidden="1">
      <c r="A74" s="107" t="s">
        <v>285</v>
      </c>
      <c r="B74" s="107" t="s">
        <v>284</v>
      </c>
      <c r="C74" s="821">
        <f>(1250000+550000+530000)*11-420000</f>
        <v>25210000</v>
      </c>
      <c r="E74" s="123"/>
      <c r="F74" s="137"/>
      <c r="G74" s="71"/>
      <c r="H74" s="57"/>
      <c r="I74" s="57"/>
      <c r="J74" s="57"/>
      <c r="K74" s="57"/>
      <c r="L74" s="57"/>
      <c r="M74" s="57"/>
    </row>
    <row r="75" spans="1:13" s="9" customFormat="1" ht="13.5" hidden="1">
      <c r="A75" s="13" t="s">
        <v>68</v>
      </c>
      <c r="B75" s="57" t="s">
        <v>1177</v>
      </c>
      <c r="C75" s="821">
        <v>55000</v>
      </c>
      <c r="D75" s="116"/>
      <c r="E75" s="123"/>
      <c r="F75" s="135"/>
      <c r="G75" s="71"/>
      <c r="H75" s="57"/>
      <c r="I75" s="57"/>
      <c r="J75" s="57"/>
      <c r="K75" s="57"/>
      <c r="L75" s="57"/>
      <c r="M75" s="57"/>
    </row>
    <row r="76" spans="1:13" s="9" customFormat="1" ht="13.5">
      <c r="A76" s="353" t="s">
        <v>139</v>
      </c>
      <c r="B76" s="404" t="s">
        <v>140</v>
      </c>
      <c r="C76" s="33">
        <f>SUM(C77)</f>
        <v>68700</v>
      </c>
      <c r="D76" s="116"/>
      <c r="E76" s="123"/>
      <c r="F76" s="135"/>
      <c r="G76" s="71"/>
      <c r="H76" s="57"/>
      <c r="I76" s="57"/>
      <c r="J76" s="57"/>
      <c r="K76" s="57"/>
      <c r="L76" s="57"/>
      <c r="M76" s="57"/>
    </row>
    <row r="77" spans="1:13" s="9" customFormat="1" ht="13.5" hidden="1">
      <c r="A77" s="107" t="s">
        <v>157</v>
      </c>
      <c r="B77" s="57" t="s">
        <v>365</v>
      </c>
      <c r="C77" s="821">
        <v>68700</v>
      </c>
      <c r="D77" s="116"/>
      <c r="E77" s="123"/>
      <c r="F77" s="135"/>
      <c r="G77" s="71"/>
      <c r="H77" s="57"/>
      <c r="I77" s="57"/>
      <c r="J77" s="57"/>
      <c r="K77" s="57"/>
      <c r="L77" s="57"/>
      <c r="M77" s="57"/>
    </row>
    <row r="78" spans="1:13" s="100" customFormat="1" ht="14.25" thickBot="1">
      <c r="A78" s="105"/>
      <c r="B78" s="105"/>
      <c r="C78" s="87"/>
      <c r="D78" s="101"/>
      <c r="E78" s="102"/>
      <c r="F78" s="79"/>
      <c r="G78" s="78"/>
      <c r="H78" s="78"/>
      <c r="I78" s="78"/>
      <c r="J78" s="78"/>
      <c r="K78" s="78"/>
      <c r="L78" s="78"/>
      <c r="M78" s="78"/>
    </row>
    <row r="79" spans="1:13" s="222" customFormat="1" ht="14.25" thickBot="1">
      <c r="A79" s="959" t="s">
        <v>4</v>
      </c>
      <c r="B79" s="960"/>
      <c r="C79" s="103">
        <f>C80+C83+C85</f>
        <v>34460</v>
      </c>
      <c r="D79" s="102"/>
      <c r="E79" s="102"/>
      <c r="F79" s="251"/>
      <c r="G79" s="250"/>
      <c r="H79" s="250"/>
      <c r="I79" s="250"/>
      <c r="J79" s="250"/>
      <c r="K79" s="250"/>
      <c r="L79" s="109"/>
      <c r="M79" s="109"/>
    </row>
    <row r="80" spans="1:11" s="109" customFormat="1" ht="13.5" customHeight="1">
      <c r="A80" s="353" t="s">
        <v>126</v>
      </c>
      <c r="B80" s="286" t="s">
        <v>127</v>
      </c>
      <c r="C80" s="96">
        <f>SUM(C81:C82)</f>
        <v>16000</v>
      </c>
      <c r="D80" s="79"/>
      <c r="E80" s="79"/>
      <c r="F80" s="251"/>
      <c r="G80" s="250"/>
      <c r="H80" s="250"/>
      <c r="I80" s="250"/>
      <c r="J80" s="250"/>
      <c r="K80" s="250"/>
    </row>
    <row r="81" spans="1:13" s="9" customFormat="1" ht="13.5" customHeight="1" hidden="1">
      <c r="A81" s="107" t="s">
        <v>101</v>
      </c>
      <c r="B81" s="24" t="s">
        <v>9</v>
      </c>
      <c r="C81" s="821">
        <v>10500</v>
      </c>
      <c r="D81" s="115"/>
      <c r="E81" s="26"/>
      <c r="F81" s="135"/>
      <c r="G81" s="71"/>
      <c r="H81" s="57"/>
      <c r="I81" s="57"/>
      <c r="J81" s="57"/>
      <c r="K81" s="57"/>
      <c r="L81" s="57"/>
      <c r="M81" s="57"/>
    </row>
    <row r="82" spans="1:13" s="9" customFormat="1" ht="13.5" customHeight="1" hidden="1">
      <c r="A82" s="13" t="s">
        <v>62</v>
      </c>
      <c r="B82" s="25" t="s">
        <v>63</v>
      </c>
      <c r="C82" s="821">
        <v>5500</v>
      </c>
      <c r="D82" s="115"/>
      <c r="E82" s="26"/>
      <c r="F82" s="70"/>
      <c r="G82" s="108"/>
      <c r="H82" s="57"/>
      <c r="I82" s="57"/>
      <c r="J82" s="57"/>
      <c r="K82" s="57"/>
      <c r="L82" s="57"/>
      <c r="M82" s="57"/>
    </row>
    <row r="83" spans="1:13" s="9" customFormat="1" ht="13.5" customHeight="1">
      <c r="A83" s="353" t="s">
        <v>142</v>
      </c>
      <c r="B83" s="26" t="s">
        <v>55</v>
      </c>
      <c r="C83" s="33">
        <f>SUM(C84)</f>
        <v>13000</v>
      </c>
      <c r="D83" s="115"/>
      <c r="E83" s="26"/>
      <c r="F83" s="135"/>
      <c r="G83" s="71"/>
      <c r="H83" s="57"/>
      <c r="I83" s="57"/>
      <c r="J83" s="57"/>
      <c r="K83" s="57"/>
      <c r="L83" s="57"/>
      <c r="M83" s="57"/>
    </row>
    <row r="84" spans="1:13" s="9" customFormat="1" ht="13.5" customHeight="1" hidden="1">
      <c r="A84" s="107" t="s">
        <v>275</v>
      </c>
      <c r="B84" s="24" t="s">
        <v>55</v>
      </c>
      <c r="C84" s="821">
        <v>13000</v>
      </c>
      <c r="D84" s="115"/>
      <c r="E84" s="26"/>
      <c r="F84" s="70"/>
      <c r="G84" s="108"/>
      <c r="H84" s="57"/>
      <c r="I84" s="57"/>
      <c r="J84" s="57"/>
      <c r="K84" s="57"/>
      <c r="L84" s="57"/>
      <c r="M84" s="57"/>
    </row>
    <row r="85" spans="1:13" s="9" customFormat="1" ht="13.5" customHeight="1">
      <c r="A85" s="353" t="s">
        <v>188</v>
      </c>
      <c r="B85" s="26" t="s">
        <v>145</v>
      </c>
      <c r="C85" s="33">
        <f>SUM(C86)</f>
        <v>5460</v>
      </c>
      <c r="D85" s="115"/>
      <c r="E85" s="26"/>
      <c r="F85" s="70"/>
      <c r="G85" s="108"/>
      <c r="H85" s="57"/>
      <c r="I85" s="57"/>
      <c r="J85" s="57"/>
      <c r="K85" s="57"/>
      <c r="L85" s="57"/>
      <c r="M85" s="57"/>
    </row>
    <row r="86" spans="1:13" s="9" customFormat="1" ht="13.5" customHeight="1" hidden="1">
      <c r="A86" s="107" t="s">
        <v>189</v>
      </c>
      <c r="B86" s="24" t="s">
        <v>56</v>
      </c>
      <c r="C86" s="821">
        <f>4200*1.3</f>
        <v>5460</v>
      </c>
      <c r="D86" s="115"/>
      <c r="E86" s="26"/>
      <c r="F86" s="135"/>
      <c r="G86" s="71"/>
      <c r="H86" s="57"/>
      <c r="I86" s="57"/>
      <c r="J86" s="57"/>
      <c r="K86" s="57"/>
      <c r="L86" s="57"/>
      <c r="M86" s="57"/>
    </row>
    <row r="87" spans="1:13" s="9" customFormat="1" ht="13.5" customHeight="1">
      <c r="A87" s="107"/>
      <c r="B87" s="24"/>
      <c r="C87" s="24"/>
      <c r="D87" s="115"/>
      <c r="E87" s="26"/>
      <c r="F87" s="135"/>
      <c r="G87" s="71"/>
      <c r="H87" s="57"/>
      <c r="I87" s="57"/>
      <c r="J87" s="57"/>
      <c r="K87" s="57"/>
      <c r="L87" s="57"/>
      <c r="M87" s="57"/>
    </row>
    <row r="88" spans="1:13" ht="14.25" thickBot="1">
      <c r="A88" s="107"/>
      <c r="B88" s="107"/>
      <c r="C88" s="249"/>
      <c r="D88" s="189"/>
      <c r="E88" s="11"/>
      <c r="F88" s="271"/>
      <c r="G88" s="256"/>
      <c r="H88" s="256"/>
      <c r="I88" s="256"/>
      <c r="J88" s="256"/>
      <c r="K88" s="256"/>
      <c r="L88" s="255"/>
      <c r="M88" s="255"/>
    </row>
    <row r="89" spans="1:6" s="260" customFormat="1" ht="13.5" customHeight="1">
      <c r="A89" s="64" t="s">
        <v>1179</v>
      </c>
      <c r="B89" s="221"/>
      <c r="C89" s="220"/>
      <c r="D89" s="219" t="s">
        <v>6</v>
      </c>
      <c r="E89" s="218">
        <v>1102</v>
      </c>
      <c r="F89" s="271"/>
    </row>
    <row r="90" spans="1:6" s="260" customFormat="1" ht="14.25" thickBot="1">
      <c r="A90" s="45" t="s">
        <v>283</v>
      </c>
      <c r="B90" s="208"/>
      <c r="C90" s="207"/>
      <c r="D90" s="835"/>
      <c r="E90" s="212"/>
      <c r="F90" s="271"/>
    </row>
    <row r="91" spans="1:13" ht="13.5" customHeight="1">
      <c r="A91" s="64" t="s">
        <v>282</v>
      </c>
      <c r="B91" s="221"/>
      <c r="C91" s="220"/>
      <c r="D91" s="248"/>
      <c r="E91" s="242"/>
      <c r="F91" s="271"/>
      <c r="G91" s="256"/>
      <c r="H91" s="256"/>
      <c r="I91" s="256"/>
      <c r="J91" s="256"/>
      <c r="K91" s="256"/>
      <c r="L91" s="255"/>
      <c r="M91" s="255"/>
    </row>
    <row r="92" spans="1:13" ht="13.5" customHeight="1">
      <c r="A92" s="45" t="s">
        <v>281</v>
      </c>
      <c r="B92" s="208"/>
      <c r="C92" s="207"/>
      <c r="D92" s="213"/>
      <c r="E92" s="197"/>
      <c r="F92" s="271"/>
      <c r="G92" s="256"/>
      <c r="H92" s="256"/>
      <c r="I92" s="256"/>
      <c r="J92" s="256"/>
      <c r="K92" s="256"/>
      <c r="L92" s="255"/>
      <c r="M92" s="255"/>
    </row>
    <row r="93" spans="1:13" ht="13.5" customHeight="1">
      <c r="A93" s="45" t="s">
        <v>280</v>
      </c>
      <c r="B93" s="208"/>
      <c r="C93" s="207"/>
      <c r="D93" s="213"/>
      <c r="E93" s="197"/>
      <c r="F93" s="108"/>
      <c r="G93" s="256"/>
      <c r="H93" s="256"/>
      <c r="I93" s="256"/>
      <c r="J93" s="256"/>
      <c r="K93" s="256"/>
      <c r="L93" s="255"/>
      <c r="M93" s="255"/>
    </row>
    <row r="94" spans="1:13" ht="13.5" customHeight="1">
      <c r="A94" s="45" t="s">
        <v>279</v>
      </c>
      <c r="B94" s="12"/>
      <c r="C94" s="247"/>
      <c r="D94" s="246"/>
      <c r="E94" s="197"/>
      <c r="F94" s="108"/>
      <c r="G94" s="256"/>
      <c r="H94" s="256"/>
      <c r="I94" s="256"/>
      <c r="J94" s="256"/>
      <c r="K94" s="256"/>
      <c r="L94" s="255"/>
      <c r="M94" s="255"/>
    </row>
    <row r="95" spans="1:13" ht="13.5" customHeight="1" thickBot="1">
      <c r="A95" s="45" t="s">
        <v>278</v>
      </c>
      <c r="B95" s="208"/>
      <c r="C95" s="207"/>
      <c r="D95" s="213"/>
      <c r="E95" s="197"/>
      <c r="F95" s="108"/>
      <c r="G95" s="256"/>
      <c r="H95" s="256"/>
      <c r="I95" s="256"/>
      <c r="J95" s="256"/>
      <c r="K95" s="256"/>
      <c r="L95" s="255"/>
      <c r="M95" s="255"/>
    </row>
    <row r="96" spans="1:13" ht="13.5" customHeight="1">
      <c r="A96" s="169" t="s">
        <v>1365</v>
      </c>
      <c r="B96" s="245"/>
      <c r="C96" s="244"/>
      <c r="D96" s="243"/>
      <c r="E96" s="242"/>
      <c r="F96" s="271"/>
      <c r="G96" s="256"/>
      <c r="H96" s="256"/>
      <c r="I96" s="256"/>
      <c r="J96" s="256"/>
      <c r="K96" s="256"/>
      <c r="L96" s="255"/>
      <c r="M96" s="255"/>
    </row>
    <row r="97" spans="1:13" ht="13.5" customHeight="1">
      <c r="A97" s="85" t="s">
        <v>225</v>
      </c>
      <c r="B97" s="13"/>
      <c r="C97" s="199"/>
      <c r="D97" s="198"/>
      <c r="E97" s="197"/>
      <c r="F97" s="271"/>
      <c r="G97" s="256"/>
      <c r="H97" s="256"/>
      <c r="I97" s="256"/>
      <c r="J97" s="256"/>
      <c r="K97" s="256"/>
      <c r="L97" s="255"/>
      <c r="M97" s="255"/>
    </row>
    <row r="98" spans="1:13" ht="13.5" customHeight="1">
      <c r="A98" s="85" t="s">
        <v>1421</v>
      </c>
      <c r="B98" s="13"/>
      <c r="C98" s="199"/>
      <c r="D98" s="198"/>
      <c r="E98" s="197"/>
      <c r="F98" s="271"/>
      <c r="G98" s="256"/>
      <c r="H98" s="256"/>
      <c r="I98" s="256"/>
      <c r="J98" s="256"/>
      <c r="K98" s="256"/>
      <c r="L98" s="255"/>
      <c r="M98" s="255"/>
    </row>
    <row r="99" spans="1:13" ht="14.25" thickBot="1">
      <c r="A99" s="111" t="s">
        <v>11</v>
      </c>
      <c r="B99" s="196"/>
      <c r="C99" s="195"/>
      <c r="D99" s="194"/>
      <c r="E99" s="193"/>
      <c r="F99" s="271"/>
      <c r="G99" s="256"/>
      <c r="H99" s="256"/>
      <c r="I99" s="256"/>
      <c r="J99" s="256"/>
      <c r="K99" s="256"/>
      <c r="L99" s="255"/>
      <c r="M99" s="255"/>
    </row>
    <row r="100" spans="1:13" ht="14.25" thickBot="1">
      <c r="A100" s="54" t="s">
        <v>0</v>
      </c>
      <c r="B100" s="192"/>
      <c r="C100" s="55" t="s">
        <v>224</v>
      </c>
      <c r="D100" s="191" t="s">
        <v>224</v>
      </c>
      <c r="E100" s="161">
        <f>+C102+C116+C130</f>
        <v>675555</v>
      </c>
      <c r="F100" s="271"/>
      <c r="G100" s="256"/>
      <c r="H100" s="256"/>
      <c r="I100" s="256"/>
      <c r="J100" s="256"/>
      <c r="K100" s="256"/>
      <c r="L100" s="255"/>
      <c r="M100" s="255"/>
    </row>
    <row r="101" spans="1:13" ht="14.25" thickBot="1">
      <c r="A101" s="107"/>
      <c r="B101" s="107"/>
      <c r="C101" s="29"/>
      <c r="D101" s="29"/>
      <c r="E101" s="825"/>
      <c r="F101" s="825"/>
      <c r="G101" s="256"/>
      <c r="H101" s="256"/>
      <c r="I101" s="256"/>
      <c r="J101" s="256"/>
      <c r="K101" s="256"/>
      <c r="L101" s="255"/>
      <c r="M101" s="255"/>
    </row>
    <row r="102" spans="1:13" s="222" customFormat="1" ht="14.25" thickBot="1">
      <c r="A102" s="947" t="s">
        <v>2</v>
      </c>
      <c r="B102" s="948"/>
      <c r="C102" s="38">
        <f>C103+C105+C107+C109+C112</f>
        <v>137300</v>
      </c>
      <c r="D102" s="24"/>
      <c r="E102" s="151"/>
      <c r="F102" s="108"/>
      <c r="G102" s="250"/>
      <c r="H102" s="250"/>
      <c r="I102" s="250"/>
      <c r="J102" s="250"/>
      <c r="K102" s="250"/>
      <c r="L102" s="109"/>
      <c r="M102" s="109"/>
    </row>
    <row r="103" spans="1:11" s="223" customFormat="1" ht="13.5" customHeight="1">
      <c r="A103" s="12" t="s">
        <v>113</v>
      </c>
      <c r="B103" s="404" t="s">
        <v>114</v>
      </c>
      <c r="C103" s="34">
        <f>SUM(C104)</f>
        <v>37700</v>
      </c>
      <c r="D103" s="137"/>
      <c r="F103" s="186"/>
      <c r="G103" s="225"/>
      <c r="H103" s="224"/>
      <c r="I103" s="224"/>
      <c r="J103" s="224"/>
      <c r="K103" s="224"/>
    </row>
    <row r="104" spans="1:13" s="222" customFormat="1" ht="13.5" customHeight="1" hidden="1">
      <c r="A104" s="13" t="s">
        <v>50</v>
      </c>
      <c r="B104" s="57" t="s">
        <v>180</v>
      </c>
      <c r="C104" s="821">
        <v>37700</v>
      </c>
      <c r="D104" s="24"/>
      <c r="F104" s="25"/>
      <c r="G104" s="108"/>
      <c r="H104" s="250"/>
      <c r="I104" s="250"/>
      <c r="J104" s="250"/>
      <c r="K104" s="250"/>
      <c r="L104" s="109"/>
      <c r="M104" s="109"/>
    </row>
    <row r="105" spans="1:13" s="222" customFormat="1" ht="13.5" customHeight="1">
      <c r="A105" s="12" t="s">
        <v>115</v>
      </c>
      <c r="B105" s="791" t="s">
        <v>116</v>
      </c>
      <c r="C105" s="26">
        <f>SUM(C106)</f>
        <v>26730</v>
      </c>
      <c r="D105" s="24"/>
      <c r="F105" s="25"/>
      <c r="G105" s="108"/>
      <c r="H105" s="250"/>
      <c r="I105" s="250"/>
      <c r="J105" s="250"/>
      <c r="K105" s="250"/>
      <c r="L105" s="109"/>
      <c r="M105" s="109"/>
    </row>
    <row r="106" spans="1:13" s="222" customFormat="1" ht="13.5" customHeight="1" hidden="1">
      <c r="A106" s="13" t="s">
        <v>96</v>
      </c>
      <c r="B106" s="57" t="s">
        <v>71</v>
      </c>
      <c r="C106" s="821">
        <v>26730</v>
      </c>
      <c r="D106" s="24"/>
      <c r="F106" s="25"/>
      <c r="G106" s="108"/>
      <c r="H106" s="250"/>
      <c r="I106" s="250"/>
      <c r="J106" s="250"/>
      <c r="K106" s="250"/>
      <c r="L106" s="109"/>
      <c r="M106" s="109"/>
    </row>
    <row r="107" spans="1:13" s="222" customFormat="1" ht="13.5" customHeight="1">
      <c r="A107" s="12" t="s">
        <v>117</v>
      </c>
      <c r="B107" s="791" t="s">
        <v>118</v>
      </c>
      <c r="C107" s="26">
        <f>SUM(C108)</f>
        <v>11800</v>
      </c>
      <c r="D107" s="24"/>
      <c r="F107" s="33"/>
      <c r="G107" s="108"/>
      <c r="H107" s="250"/>
      <c r="I107" s="250"/>
      <c r="J107" s="250"/>
      <c r="K107" s="250"/>
      <c r="L107" s="109"/>
      <c r="M107" s="109"/>
    </row>
    <row r="108" spans="1:13" s="222" customFormat="1" ht="13.5" customHeight="1" hidden="1">
      <c r="A108" s="13" t="s">
        <v>51</v>
      </c>
      <c r="B108" s="57" t="s">
        <v>52</v>
      </c>
      <c r="C108" s="821">
        <v>11800</v>
      </c>
      <c r="D108" s="26"/>
      <c r="F108" s="33"/>
      <c r="G108" s="108"/>
      <c r="H108" s="250"/>
      <c r="I108" s="250"/>
      <c r="J108" s="250"/>
      <c r="K108" s="250"/>
      <c r="L108" s="109"/>
      <c r="M108" s="109"/>
    </row>
    <row r="109" spans="1:13" s="222" customFormat="1" ht="13.5" customHeight="1">
      <c r="A109" s="353" t="s">
        <v>134</v>
      </c>
      <c r="B109" s="812" t="s">
        <v>133</v>
      </c>
      <c r="C109" s="26">
        <f>SUM(C110:C111)</f>
        <v>27840</v>
      </c>
      <c r="D109" s="26"/>
      <c r="E109" s="24"/>
      <c r="F109" s="108"/>
      <c r="G109" s="250"/>
      <c r="H109" s="250"/>
      <c r="I109" s="250"/>
      <c r="J109" s="250"/>
      <c r="K109" s="250"/>
      <c r="L109" s="109"/>
      <c r="M109" s="109"/>
    </row>
    <row r="110" spans="1:13" s="222" customFormat="1" ht="13.5" customHeight="1" hidden="1">
      <c r="A110" s="107" t="s">
        <v>277</v>
      </c>
      <c r="B110" s="57" t="s">
        <v>276</v>
      </c>
      <c r="C110" s="821">
        <v>11000</v>
      </c>
      <c r="D110" s="26"/>
      <c r="E110" s="24"/>
      <c r="F110" s="108"/>
      <c r="G110" s="250"/>
      <c r="H110" s="250"/>
      <c r="I110" s="250"/>
      <c r="J110" s="250"/>
      <c r="K110" s="250"/>
      <c r="L110" s="109"/>
      <c r="M110" s="109"/>
    </row>
    <row r="111" spans="1:13" s="222" customFormat="1" ht="13.5" customHeight="1" hidden="1">
      <c r="A111" s="107" t="s">
        <v>103</v>
      </c>
      <c r="B111" s="57" t="s">
        <v>78</v>
      </c>
      <c r="C111" s="821">
        <v>16840</v>
      </c>
      <c r="D111" s="26"/>
      <c r="E111" s="24"/>
      <c r="F111" s="108"/>
      <c r="G111" s="250"/>
      <c r="H111" s="250"/>
      <c r="I111" s="250"/>
      <c r="J111" s="250"/>
      <c r="K111" s="250"/>
      <c r="L111" s="109"/>
      <c r="M111" s="109"/>
    </row>
    <row r="112" spans="1:13" s="222" customFormat="1" ht="13.5" customHeight="1">
      <c r="A112" s="353" t="s">
        <v>169</v>
      </c>
      <c r="B112" s="26" t="s">
        <v>144</v>
      </c>
      <c r="C112" s="26">
        <f>SUM(C113:C114)</f>
        <v>33230</v>
      </c>
      <c r="D112" s="26"/>
      <c r="E112" s="24"/>
      <c r="F112" s="108"/>
      <c r="G112" s="250"/>
      <c r="H112" s="250"/>
      <c r="I112" s="250"/>
      <c r="J112" s="250"/>
      <c r="K112" s="250"/>
      <c r="L112" s="109"/>
      <c r="M112" s="109"/>
    </row>
    <row r="113" spans="1:13" s="222" customFormat="1" ht="13.5" customHeight="1" hidden="1">
      <c r="A113" s="13" t="s">
        <v>171</v>
      </c>
      <c r="B113" s="57" t="s">
        <v>75</v>
      </c>
      <c r="C113" s="821">
        <v>18230</v>
      </c>
      <c r="D113" s="26"/>
      <c r="E113" s="24"/>
      <c r="F113" s="108"/>
      <c r="G113" s="250"/>
      <c r="H113" s="250"/>
      <c r="I113" s="250"/>
      <c r="J113" s="250"/>
      <c r="K113" s="250"/>
      <c r="L113" s="109"/>
      <c r="M113" s="109"/>
    </row>
    <row r="114" spans="1:13" s="222" customFormat="1" ht="13.5" customHeight="1" hidden="1">
      <c r="A114" s="13" t="s">
        <v>172</v>
      </c>
      <c r="B114" s="57" t="s">
        <v>135</v>
      </c>
      <c r="C114" s="821">
        <v>15000</v>
      </c>
      <c r="D114" s="26"/>
      <c r="E114" s="26"/>
      <c r="F114" s="108"/>
      <c r="G114" s="250"/>
      <c r="H114" s="250"/>
      <c r="I114" s="250"/>
      <c r="J114" s="250"/>
      <c r="K114" s="250"/>
      <c r="L114" s="109"/>
      <c r="M114" s="109"/>
    </row>
    <row r="115" spans="1:13" s="222" customFormat="1" ht="14.25" thickBot="1">
      <c r="A115" s="107"/>
      <c r="B115" s="57"/>
      <c r="C115" s="24"/>
      <c r="D115" s="24"/>
      <c r="E115" s="26"/>
      <c r="F115" s="108"/>
      <c r="G115" s="250"/>
      <c r="H115" s="250"/>
      <c r="I115" s="250"/>
      <c r="J115" s="250"/>
      <c r="K115" s="250"/>
      <c r="L115" s="109"/>
      <c r="M115" s="109"/>
    </row>
    <row r="116" spans="1:13" s="222" customFormat="1" ht="14.25" thickBot="1">
      <c r="A116" s="949" t="s">
        <v>3</v>
      </c>
      <c r="B116" s="950"/>
      <c r="C116" s="36">
        <f>C117+C119+C121+C123</f>
        <v>502855</v>
      </c>
      <c r="D116" s="24"/>
      <c r="E116" s="24"/>
      <c r="F116" s="108"/>
      <c r="G116" s="250"/>
      <c r="H116" s="250"/>
      <c r="I116" s="250"/>
      <c r="J116" s="250"/>
      <c r="K116" s="250"/>
      <c r="L116" s="109"/>
      <c r="M116" s="109"/>
    </row>
    <row r="117" spans="1:13" s="9" customFormat="1" ht="13.5" customHeight="1">
      <c r="A117" s="813" t="s">
        <v>120</v>
      </c>
      <c r="B117" s="404" t="s">
        <v>121</v>
      </c>
      <c r="C117" s="33">
        <f>C118</f>
        <v>251160</v>
      </c>
      <c r="F117" s="160"/>
      <c r="G117" s="125"/>
      <c r="H117" s="135"/>
      <c r="I117" s="57"/>
      <c r="J117" s="57"/>
      <c r="K117" s="57"/>
      <c r="L117" s="57"/>
      <c r="M117" s="57"/>
    </row>
    <row r="118" spans="1:13" s="9" customFormat="1" ht="13.5" customHeight="1" hidden="1">
      <c r="A118" s="105" t="s">
        <v>179</v>
      </c>
      <c r="B118" s="57" t="s">
        <v>178</v>
      </c>
      <c r="C118" s="821">
        <f>251160</f>
        <v>251160</v>
      </c>
      <c r="F118" s="252"/>
      <c r="G118" s="125"/>
      <c r="H118" s="135"/>
      <c r="I118" s="57"/>
      <c r="J118" s="57"/>
      <c r="K118" s="57"/>
      <c r="L118" s="57"/>
      <c r="M118" s="57"/>
    </row>
    <row r="119" spans="1:11" s="223" customFormat="1" ht="13.5" customHeight="1">
      <c r="A119" s="813" t="s">
        <v>122</v>
      </c>
      <c r="B119" s="95" t="s">
        <v>175</v>
      </c>
      <c r="C119" s="34">
        <f>SUM(C120)</f>
        <v>93600</v>
      </c>
      <c r="D119" s="137"/>
      <c r="E119" s="137"/>
      <c r="F119" s="225"/>
      <c r="G119" s="224"/>
      <c r="H119" s="224"/>
      <c r="I119" s="224"/>
      <c r="J119" s="224"/>
      <c r="K119" s="224"/>
    </row>
    <row r="120" spans="1:13" s="222" customFormat="1" ht="13.5" customHeight="1" hidden="1">
      <c r="A120" s="105" t="s">
        <v>174</v>
      </c>
      <c r="B120" s="105" t="s">
        <v>97</v>
      </c>
      <c r="C120" s="821">
        <f>78000*1.2</f>
        <v>93600</v>
      </c>
      <c r="E120" s="24"/>
      <c r="F120" s="108"/>
      <c r="G120" s="250"/>
      <c r="H120" s="250"/>
      <c r="I120" s="250"/>
      <c r="J120" s="250"/>
      <c r="K120" s="250"/>
      <c r="L120" s="109"/>
      <c r="M120" s="109"/>
    </row>
    <row r="121" spans="1:13" s="222" customFormat="1" ht="13.5" customHeight="1">
      <c r="A121" s="95" t="s">
        <v>143</v>
      </c>
      <c r="B121" s="812" t="s">
        <v>61</v>
      </c>
      <c r="C121" s="26">
        <f>SUM(C122)</f>
        <v>12000</v>
      </c>
      <c r="D121" s="24"/>
      <c r="E121" s="24"/>
      <c r="F121" s="108"/>
      <c r="G121" s="250"/>
      <c r="H121" s="250"/>
      <c r="I121" s="250"/>
      <c r="J121" s="250"/>
      <c r="K121" s="250"/>
      <c r="L121" s="109"/>
      <c r="M121" s="109"/>
    </row>
    <row r="122" spans="1:13" s="222" customFormat="1" ht="13.5" customHeight="1" hidden="1">
      <c r="A122" s="86" t="s">
        <v>105</v>
      </c>
      <c r="B122" s="57" t="s">
        <v>106</v>
      </c>
      <c r="C122" s="821">
        <v>12000</v>
      </c>
      <c r="D122" s="24"/>
      <c r="E122" s="24"/>
      <c r="F122" s="108"/>
      <c r="G122" s="250"/>
      <c r="H122" s="250"/>
      <c r="I122" s="250"/>
      <c r="J122" s="250"/>
      <c r="K122" s="250"/>
      <c r="L122" s="109"/>
      <c r="M122" s="109"/>
    </row>
    <row r="123" spans="1:11" s="223" customFormat="1" ht="13.5" customHeight="1">
      <c r="A123" s="12" t="s">
        <v>125</v>
      </c>
      <c r="B123" s="353" t="s">
        <v>8</v>
      </c>
      <c r="C123" s="34">
        <f>SUM(C124:C128)</f>
        <v>146095</v>
      </c>
      <c r="D123" s="137"/>
      <c r="E123" s="137"/>
      <c r="F123" s="225"/>
      <c r="G123" s="224"/>
      <c r="H123" s="224"/>
      <c r="I123" s="224"/>
      <c r="J123" s="224"/>
      <c r="K123" s="224"/>
    </row>
    <row r="124" spans="1:13" s="222" customFormat="1" ht="13.5" customHeight="1" hidden="1">
      <c r="A124" s="13" t="s">
        <v>99</v>
      </c>
      <c r="B124" s="107" t="s">
        <v>8</v>
      </c>
      <c r="C124" s="821">
        <f>(7200*12)+5150*1.3-15000</f>
        <v>78095</v>
      </c>
      <c r="E124" s="24"/>
      <c r="F124" s="25"/>
      <c r="G124" s="250"/>
      <c r="H124" s="250"/>
      <c r="I124" s="250"/>
      <c r="J124" s="250"/>
      <c r="K124" s="250"/>
      <c r="L124" s="109"/>
      <c r="M124" s="109"/>
    </row>
    <row r="125" spans="1:13" s="222" customFormat="1" ht="13.5" customHeight="1" hidden="1">
      <c r="A125" s="13" t="s">
        <v>205</v>
      </c>
      <c r="B125" s="107" t="s">
        <v>54</v>
      </c>
      <c r="C125" s="821">
        <v>5000</v>
      </c>
      <c r="D125" s="24"/>
      <c r="E125" s="24"/>
      <c r="F125" s="108"/>
      <c r="G125" s="250"/>
      <c r="H125" s="250"/>
      <c r="I125" s="250"/>
      <c r="J125" s="250"/>
      <c r="K125" s="250"/>
      <c r="L125" s="109"/>
      <c r="M125" s="109"/>
    </row>
    <row r="126" spans="1:13" s="222" customFormat="1" ht="13.5" customHeight="1" hidden="1">
      <c r="A126" s="13" t="s">
        <v>203</v>
      </c>
      <c r="B126" s="57" t="s">
        <v>202</v>
      </c>
      <c r="C126" s="821">
        <v>15600</v>
      </c>
      <c r="D126" s="24"/>
      <c r="E126" s="24"/>
      <c r="F126" s="108"/>
      <c r="G126" s="250"/>
      <c r="H126" s="250"/>
      <c r="I126" s="250"/>
      <c r="J126" s="250"/>
      <c r="K126" s="250"/>
      <c r="L126" s="109"/>
      <c r="M126" s="109"/>
    </row>
    <row r="127" spans="1:13" s="222" customFormat="1" ht="13.5" customHeight="1" hidden="1">
      <c r="A127" s="13" t="s">
        <v>268</v>
      </c>
      <c r="B127" s="57" t="s">
        <v>267</v>
      </c>
      <c r="C127" s="821">
        <f>30600-15000</f>
        <v>15600</v>
      </c>
      <c r="D127" s="24"/>
      <c r="E127" s="24"/>
      <c r="F127" s="108"/>
      <c r="G127" s="250"/>
      <c r="H127" s="250"/>
      <c r="I127" s="250"/>
      <c r="J127" s="250"/>
      <c r="K127" s="250"/>
      <c r="L127" s="109"/>
      <c r="M127" s="109"/>
    </row>
    <row r="128" spans="1:13" s="222" customFormat="1" ht="13.5" customHeight="1" hidden="1">
      <c r="A128" s="13" t="s">
        <v>266</v>
      </c>
      <c r="B128" s="105" t="s">
        <v>265</v>
      </c>
      <c r="C128" s="821">
        <f>41800-10000</f>
        <v>31800</v>
      </c>
      <c r="D128" s="24"/>
      <c r="E128" s="24"/>
      <c r="F128" s="108"/>
      <c r="G128" s="250"/>
      <c r="H128" s="250"/>
      <c r="I128" s="250"/>
      <c r="J128" s="250"/>
      <c r="K128" s="250"/>
      <c r="L128" s="109"/>
      <c r="M128" s="109"/>
    </row>
    <row r="129" spans="1:13" s="222" customFormat="1" ht="14.25" thickBot="1">
      <c r="A129" s="107"/>
      <c r="B129" s="107"/>
      <c r="C129" s="24"/>
      <c r="D129" s="24"/>
      <c r="E129" s="24"/>
      <c r="F129" s="108"/>
      <c r="G129" s="250"/>
      <c r="H129" s="250"/>
      <c r="I129" s="250"/>
      <c r="J129" s="250"/>
      <c r="K129" s="250"/>
      <c r="L129" s="109"/>
      <c r="M129" s="109"/>
    </row>
    <row r="130" spans="1:13" s="222" customFormat="1" ht="14.25" thickBot="1">
      <c r="A130" s="951" t="s">
        <v>4</v>
      </c>
      <c r="B130" s="952"/>
      <c r="C130" s="32">
        <f>C131+C134</f>
        <v>35400</v>
      </c>
      <c r="D130" s="24"/>
      <c r="E130" s="24"/>
      <c r="F130" s="108"/>
      <c r="G130" s="250"/>
      <c r="H130" s="250"/>
      <c r="I130" s="250"/>
      <c r="J130" s="250"/>
      <c r="K130" s="250"/>
      <c r="L130" s="109"/>
      <c r="M130" s="109"/>
    </row>
    <row r="131" spans="1:11" s="223" customFormat="1" ht="13.5" customHeight="1">
      <c r="A131" s="353" t="s">
        <v>126</v>
      </c>
      <c r="B131" s="404" t="s">
        <v>127</v>
      </c>
      <c r="C131" s="34">
        <f>SUM(C132:C133)</f>
        <v>30800</v>
      </c>
      <c r="D131" s="137"/>
      <c r="E131" s="137"/>
      <c r="F131" s="225"/>
      <c r="G131" s="224"/>
      <c r="H131" s="224"/>
      <c r="I131" s="224"/>
      <c r="J131" s="224"/>
      <c r="K131" s="224"/>
    </row>
    <row r="132" spans="1:13" s="222" customFormat="1" ht="13.5" customHeight="1" hidden="1">
      <c r="A132" s="107" t="s">
        <v>101</v>
      </c>
      <c r="B132" s="57" t="s">
        <v>152</v>
      </c>
      <c r="C132" s="821">
        <v>19300</v>
      </c>
      <c r="D132" s="24"/>
      <c r="E132" s="24"/>
      <c r="F132" s="108"/>
      <c r="G132" s="250"/>
      <c r="H132" s="250"/>
      <c r="I132" s="250"/>
      <c r="J132" s="250"/>
      <c r="K132" s="250"/>
      <c r="L132" s="109"/>
      <c r="M132" s="109"/>
    </row>
    <row r="133" spans="1:13" s="222" customFormat="1" ht="13.5" customHeight="1" hidden="1">
      <c r="A133" s="107" t="s">
        <v>182</v>
      </c>
      <c r="B133" s="57" t="s">
        <v>183</v>
      </c>
      <c r="C133" s="821">
        <v>11500</v>
      </c>
      <c r="D133" s="24"/>
      <c r="E133" s="24"/>
      <c r="F133" s="108"/>
      <c r="G133" s="250"/>
      <c r="H133" s="250"/>
      <c r="I133" s="250"/>
      <c r="J133" s="250"/>
      <c r="K133" s="250"/>
      <c r="L133" s="109"/>
      <c r="M133" s="109"/>
    </row>
    <row r="134" spans="1:13" s="222" customFormat="1" ht="13.5" customHeight="1">
      <c r="A134" s="353" t="s">
        <v>188</v>
      </c>
      <c r="B134" s="26" t="s">
        <v>146</v>
      </c>
      <c r="C134" s="26">
        <f>SUM(C135)</f>
        <v>4600</v>
      </c>
      <c r="D134" s="24"/>
      <c r="E134" s="24"/>
      <c r="F134" s="108"/>
      <c r="G134" s="250"/>
      <c r="H134" s="250"/>
      <c r="I134" s="250"/>
      <c r="J134" s="250"/>
      <c r="K134" s="250"/>
      <c r="L134" s="109"/>
      <c r="M134" s="109"/>
    </row>
    <row r="135" spans="1:13" s="222" customFormat="1" ht="13.5" customHeight="1" hidden="1">
      <c r="A135" s="107" t="s">
        <v>189</v>
      </c>
      <c r="B135" s="57" t="s">
        <v>56</v>
      </c>
      <c r="C135" s="821">
        <v>4600</v>
      </c>
      <c r="D135" s="24"/>
      <c r="E135" s="24"/>
      <c r="F135" s="108"/>
      <c r="G135" s="250"/>
      <c r="H135" s="250"/>
      <c r="I135" s="250"/>
      <c r="J135" s="250"/>
      <c r="K135" s="250"/>
      <c r="L135" s="109"/>
      <c r="M135" s="109"/>
    </row>
    <row r="136" spans="1:13" s="222" customFormat="1" ht="13.5" customHeight="1">
      <c r="A136" s="107"/>
      <c r="B136" s="57"/>
      <c r="C136" s="24"/>
      <c r="D136" s="24"/>
      <c r="E136" s="24"/>
      <c r="F136" s="108"/>
      <c r="G136" s="250"/>
      <c r="H136" s="250"/>
      <c r="I136" s="250"/>
      <c r="J136" s="250"/>
      <c r="K136" s="250"/>
      <c r="L136" s="109"/>
      <c r="M136" s="109"/>
    </row>
    <row r="137" spans="1:13" ht="14.25" thickBot="1">
      <c r="A137" s="107"/>
      <c r="B137" s="107"/>
      <c r="C137" s="249"/>
      <c r="D137" s="189"/>
      <c r="E137" s="11"/>
      <c r="F137" s="271"/>
      <c r="G137" s="256"/>
      <c r="H137" s="256"/>
      <c r="I137" s="256"/>
      <c r="J137" s="256"/>
      <c r="K137" s="256"/>
      <c r="L137" s="255"/>
      <c r="M137" s="255"/>
    </row>
    <row r="138" spans="1:6" s="260" customFormat="1" ht="13.5" customHeight="1">
      <c r="A138" s="64" t="s">
        <v>1180</v>
      </c>
      <c r="B138" s="221"/>
      <c r="C138" s="220"/>
      <c r="D138" s="219" t="s">
        <v>6</v>
      </c>
      <c r="E138" s="218">
        <v>1103</v>
      </c>
      <c r="F138" s="271"/>
    </row>
    <row r="139" spans="1:6" s="260" customFormat="1" ht="14.25" thickBot="1">
      <c r="A139" s="45" t="s">
        <v>283</v>
      </c>
      <c r="B139" s="208"/>
      <c r="C139" s="207"/>
      <c r="D139" s="835"/>
      <c r="E139" s="212"/>
      <c r="F139" s="271"/>
    </row>
    <row r="140" spans="1:13" ht="13.5">
      <c r="A140" s="64" t="s">
        <v>1209</v>
      </c>
      <c r="B140" s="221"/>
      <c r="C140" s="220"/>
      <c r="D140" s="248"/>
      <c r="E140" s="242"/>
      <c r="F140" s="255"/>
      <c r="G140" s="255"/>
      <c r="H140" s="255"/>
      <c r="I140" s="255"/>
      <c r="J140" s="255"/>
      <c r="K140" s="255"/>
      <c r="L140" s="255"/>
      <c r="M140" s="255"/>
    </row>
    <row r="141" spans="1:13" ht="12.75">
      <c r="A141" s="45" t="s">
        <v>1214</v>
      </c>
      <c r="B141" s="172"/>
      <c r="C141" s="70"/>
      <c r="D141" s="47"/>
      <c r="E141" s="48"/>
      <c r="F141" s="255"/>
      <c r="G141" s="255"/>
      <c r="H141" s="255"/>
      <c r="I141" s="255"/>
      <c r="J141" s="255"/>
      <c r="K141" s="255"/>
      <c r="L141" s="255"/>
      <c r="M141" s="255"/>
    </row>
    <row r="142" spans="1:13" ht="12.75">
      <c r="A142" s="45" t="s">
        <v>1213</v>
      </c>
      <c r="B142" s="172"/>
      <c r="C142" s="70"/>
      <c r="D142" s="47"/>
      <c r="E142" s="48"/>
      <c r="F142" s="255"/>
      <c r="G142" s="255"/>
      <c r="H142" s="255"/>
      <c r="I142" s="255"/>
      <c r="J142" s="255"/>
      <c r="K142" s="255"/>
      <c r="L142" s="255"/>
      <c r="M142" s="255"/>
    </row>
    <row r="143" spans="1:13" ht="13.5">
      <c r="A143" s="45" t="s">
        <v>1210</v>
      </c>
      <c r="B143" s="12"/>
      <c r="C143" s="247"/>
      <c r="D143" s="246"/>
      <c r="E143" s="197"/>
      <c r="F143" s="255"/>
      <c r="G143" s="255"/>
      <c r="H143" s="255"/>
      <c r="I143" s="255"/>
      <c r="J143" s="255"/>
      <c r="K143" s="255"/>
      <c r="L143" s="255"/>
      <c r="M143" s="255"/>
    </row>
    <row r="144" spans="1:13" ht="13.5">
      <c r="A144" s="45" t="s">
        <v>1211</v>
      </c>
      <c r="B144" s="208"/>
      <c r="C144" s="207"/>
      <c r="D144" s="213"/>
      <c r="E144" s="197"/>
      <c r="F144" s="255"/>
      <c r="G144" s="255"/>
      <c r="H144" s="255"/>
      <c r="I144" s="255"/>
      <c r="J144" s="255"/>
      <c r="K144" s="255"/>
      <c r="L144" s="255"/>
      <c r="M144" s="255"/>
    </row>
    <row r="145" spans="1:13" ht="13.5" thickBot="1">
      <c r="A145" s="49" t="s">
        <v>1212</v>
      </c>
      <c r="B145" s="119"/>
      <c r="C145" s="171"/>
      <c r="D145" s="50"/>
      <c r="E145" s="51"/>
      <c r="F145" s="255"/>
      <c r="G145" s="255"/>
      <c r="H145" s="255"/>
      <c r="I145" s="255"/>
      <c r="J145" s="255"/>
      <c r="K145" s="255"/>
      <c r="L145" s="255"/>
      <c r="M145" s="255"/>
    </row>
    <row r="146" spans="1:13" ht="13.5" customHeight="1">
      <c r="A146" s="169" t="s">
        <v>1365</v>
      </c>
      <c r="B146" s="245"/>
      <c r="C146" s="244"/>
      <c r="D146" s="243"/>
      <c r="E146" s="242"/>
      <c r="F146" s="271"/>
      <c r="G146" s="256"/>
      <c r="H146" s="256"/>
      <c r="I146" s="256"/>
      <c r="J146" s="256"/>
      <c r="K146" s="256"/>
      <c r="L146" s="255"/>
      <c r="M146" s="255"/>
    </row>
    <row r="147" spans="1:13" ht="13.5" customHeight="1">
      <c r="A147" s="85" t="s">
        <v>225</v>
      </c>
      <c r="B147" s="13"/>
      <c r="C147" s="199"/>
      <c r="D147" s="198"/>
      <c r="E147" s="197"/>
      <c r="F147" s="271"/>
      <c r="G147" s="256"/>
      <c r="H147" s="256"/>
      <c r="I147" s="256"/>
      <c r="J147" s="256"/>
      <c r="K147" s="256"/>
      <c r="L147" s="255"/>
      <c r="M147" s="255"/>
    </row>
    <row r="148" spans="1:13" ht="13.5" customHeight="1">
      <c r="A148" s="85" t="s">
        <v>1421</v>
      </c>
      <c r="B148" s="13"/>
      <c r="C148" s="199"/>
      <c r="D148" s="198"/>
      <c r="E148" s="197"/>
      <c r="F148" s="271"/>
      <c r="G148" s="256"/>
      <c r="H148" s="256"/>
      <c r="I148" s="256"/>
      <c r="J148" s="256"/>
      <c r="K148" s="256"/>
      <c r="L148" s="255"/>
      <c r="M148" s="255"/>
    </row>
    <row r="149" spans="1:13" ht="14.25" thickBot="1">
      <c r="A149" s="111" t="s">
        <v>11</v>
      </c>
      <c r="B149" s="196"/>
      <c r="C149" s="195"/>
      <c r="D149" s="194"/>
      <c r="E149" s="193"/>
      <c r="F149" s="271"/>
      <c r="G149" s="256"/>
      <c r="H149" s="256"/>
      <c r="I149" s="256"/>
      <c r="J149" s="256"/>
      <c r="K149" s="256"/>
      <c r="L149" s="255"/>
      <c r="M149" s="255"/>
    </row>
    <row r="150" spans="1:13" ht="14.25" thickBot="1">
      <c r="A150" s="54" t="s">
        <v>0</v>
      </c>
      <c r="B150" s="192"/>
      <c r="C150" s="55" t="s">
        <v>224</v>
      </c>
      <c r="D150" s="191" t="s">
        <v>224</v>
      </c>
      <c r="E150" s="161">
        <f>+C152+C164+C175</f>
        <v>301880</v>
      </c>
      <c r="F150" s="271"/>
      <c r="G150" s="256"/>
      <c r="H150" s="256"/>
      <c r="I150" s="256"/>
      <c r="J150" s="256"/>
      <c r="K150" s="256"/>
      <c r="L150" s="255"/>
      <c r="M150" s="255"/>
    </row>
    <row r="151" spans="1:13" ht="14.25" thickBot="1">
      <c r="A151" s="107"/>
      <c r="B151" s="107"/>
      <c r="C151" s="29"/>
      <c r="D151" s="29"/>
      <c r="E151" s="825"/>
      <c r="F151" s="271"/>
      <c r="G151" s="256"/>
      <c r="H151" s="256"/>
      <c r="I151" s="256"/>
      <c r="J151" s="256"/>
      <c r="K151" s="256"/>
      <c r="L151" s="255"/>
      <c r="M151" s="255"/>
    </row>
    <row r="152" spans="1:13" s="222" customFormat="1" ht="14.25" thickBot="1">
      <c r="A152" s="947" t="s">
        <v>2</v>
      </c>
      <c r="B152" s="948"/>
      <c r="C152" s="38">
        <f>C153+C155+C157+C159+C161</f>
        <v>41680</v>
      </c>
      <c r="D152" s="24"/>
      <c r="E152" s="151"/>
      <c r="F152" s="108"/>
      <c r="G152" s="250"/>
      <c r="H152" s="250"/>
      <c r="I152" s="250"/>
      <c r="J152" s="250"/>
      <c r="K152" s="250"/>
      <c r="L152" s="109"/>
      <c r="M152" s="109"/>
    </row>
    <row r="153" spans="1:11" s="223" customFormat="1" ht="13.5" customHeight="1">
      <c r="A153" s="12" t="s">
        <v>113</v>
      </c>
      <c r="B153" s="404" t="s">
        <v>114</v>
      </c>
      <c r="C153" s="34">
        <f>SUM(C154)</f>
        <v>13460</v>
      </c>
      <c r="D153" s="137"/>
      <c r="E153" s="846"/>
      <c r="F153" s="225"/>
      <c r="G153" s="224"/>
      <c r="H153" s="224"/>
      <c r="I153" s="224"/>
      <c r="J153" s="224"/>
      <c r="K153" s="224"/>
    </row>
    <row r="154" spans="1:13" s="222" customFormat="1" ht="13.5" customHeight="1" hidden="1">
      <c r="A154" s="13" t="s">
        <v>50</v>
      </c>
      <c r="B154" s="57" t="s">
        <v>180</v>
      </c>
      <c r="C154" s="821">
        <f>18060-4600</f>
        <v>13460</v>
      </c>
      <c r="D154" s="24"/>
      <c r="E154" s="24"/>
      <c r="F154" s="108"/>
      <c r="G154" s="250"/>
      <c r="H154" s="250"/>
      <c r="I154" s="250"/>
      <c r="J154" s="250"/>
      <c r="K154" s="250"/>
      <c r="L154" s="109"/>
      <c r="M154" s="109"/>
    </row>
    <row r="155" spans="1:13" s="222" customFormat="1" ht="13.5" customHeight="1">
      <c r="A155" s="12" t="s">
        <v>115</v>
      </c>
      <c r="B155" s="791" t="s">
        <v>116</v>
      </c>
      <c r="C155" s="26">
        <f>SUM(C156)</f>
        <v>11400</v>
      </c>
      <c r="D155" s="24"/>
      <c r="E155" s="24"/>
      <c r="F155" s="108"/>
      <c r="G155" s="250"/>
      <c r="H155" s="250"/>
      <c r="I155" s="250"/>
      <c r="J155" s="250"/>
      <c r="K155" s="250"/>
      <c r="L155" s="109"/>
      <c r="M155" s="109"/>
    </row>
    <row r="156" spans="1:13" s="222" customFormat="1" ht="13.5" customHeight="1" hidden="1">
      <c r="A156" s="13" t="s">
        <v>96</v>
      </c>
      <c r="B156" s="57" t="s">
        <v>71</v>
      </c>
      <c r="C156" s="821">
        <v>11400</v>
      </c>
      <c r="D156" s="24"/>
      <c r="E156" s="24"/>
      <c r="F156" s="108"/>
      <c r="G156" s="250"/>
      <c r="H156" s="250"/>
      <c r="I156" s="250"/>
      <c r="J156" s="250"/>
      <c r="K156" s="250"/>
      <c r="L156" s="109"/>
      <c r="M156" s="109"/>
    </row>
    <row r="157" spans="1:13" s="222" customFormat="1" ht="13.5" customHeight="1">
      <c r="A157" s="12" t="s">
        <v>117</v>
      </c>
      <c r="B157" s="791" t="s">
        <v>118</v>
      </c>
      <c r="C157" s="26">
        <f>SUM(C158)</f>
        <v>5300</v>
      </c>
      <c r="D157" s="24"/>
      <c r="E157" s="24"/>
      <c r="F157" s="108"/>
      <c r="G157" s="250"/>
      <c r="H157" s="250"/>
      <c r="I157" s="250"/>
      <c r="J157" s="250"/>
      <c r="K157" s="250"/>
      <c r="L157" s="109"/>
      <c r="M157" s="109"/>
    </row>
    <row r="158" spans="1:13" s="222" customFormat="1" ht="13.5" customHeight="1" hidden="1">
      <c r="A158" s="13" t="s">
        <v>51</v>
      </c>
      <c r="B158" s="57" t="s">
        <v>52</v>
      </c>
      <c r="C158" s="821">
        <v>5300</v>
      </c>
      <c r="D158" s="26"/>
      <c r="E158" s="24"/>
      <c r="F158" s="108"/>
      <c r="G158" s="250"/>
      <c r="H158" s="250"/>
      <c r="I158" s="250"/>
      <c r="J158" s="250"/>
      <c r="K158" s="250"/>
      <c r="L158" s="109"/>
      <c r="M158" s="109"/>
    </row>
    <row r="159" spans="1:13" s="222" customFormat="1" ht="13.5" customHeight="1">
      <c r="A159" s="353" t="s">
        <v>134</v>
      </c>
      <c r="B159" s="812" t="s">
        <v>133</v>
      </c>
      <c r="C159" s="26">
        <f>SUM(C160:C160)</f>
        <v>6120</v>
      </c>
      <c r="D159" s="26"/>
      <c r="E159" s="24"/>
      <c r="F159" s="108"/>
      <c r="G159" s="250"/>
      <c r="H159" s="250"/>
      <c r="I159" s="250"/>
      <c r="J159" s="250"/>
      <c r="K159" s="250"/>
      <c r="L159" s="109"/>
      <c r="M159" s="109"/>
    </row>
    <row r="160" spans="1:13" s="222" customFormat="1" ht="13.5" customHeight="1" hidden="1">
      <c r="A160" s="107" t="s">
        <v>103</v>
      </c>
      <c r="B160" s="57" t="s">
        <v>78</v>
      </c>
      <c r="C160" s="821">
        <v>6120</v>
      </c>
      <c r="D160" s="26"/>
      <c r="E160" s="24"/>
      <c r="F160" s="108"/>
      <c r="G160" s="250"/>
      <c r="H160" s="250"/>
      <c r="I160" s="250"/>
      <c r="J160" s="250"/>
      <c r="K160" s="250"/>
      <c r="L160" s="109"/>
      <c r="M160" s="109"/>
    </row>
    <row r="161" spans="1:13" s="222" customFormat="1" ht="13.5" customHeight="1">
      <c r="A161" s="353" t="s">
        <v>169</v>
      </c>
      <c r="B161" s="26" t="s">
        <v>144</v>
      </c>
      <c r="C161" s="26">
        <f>SUM(C162:C162)</f>
        <v>5400</v>
      </c>
      <c r="D161" s="26"/>
      <c r="E161" s="24"/>
      <c r="F161" s="108"/>
      <c r="G161" s="250"/>
      <c r="H161" s="250"/>
      <c r="I161" s="250"/>
      <c r="J161" s="250"/>
      <c r="K161" s="250"/>
      <c r="L161" s="109"/>
      <c r="M161" s="109"/>
    </row>
    <row r="162" spans="1:13" s="222" customFormat="1" ht="13.5" customHeight="1" hidden="1">
      <c r="A162" s="13" t="s">
        <v>172</v>
      </c>
      <c r="B162" s="57" t="s">
        <v>135</v>
      </c>
      <c r="C162" s="821">
        <v>5400</v>
      </c>
      <c r="D162" s="26"/>
      <c r="E162" s="26"/>
      <c r="F162" s="108"/>
      <c r="G162" s="250"/>
      <c r="H162" s="250"/>
      <c r="I162" s="250"/>
      <c r="J162" s="250"/>
      <c r="K162" s="250"/>
      <c r="L162" s="109"/>
      <c r="M162" s="109"/>
    </row>
    <row r="163" spans="1:13" s="222" customFormat="1" ht="14.25" thickBot="1">
      <c r="A163" s="107"/>
      <c r="B163" s="57"/>
      <c r="C163" s="24"/>
      <c r="D163" s="24"/>
      <c r="E163" s="26"/>
      <c r="F163" s="108"/>
      <c r="G163" s="250"/>
      <c r="H163" s="250"/>
      <c r="I163" s="250"/>
      <c r="J163" s="250"/>
      <c r="K163" s="250"/>
      <c r="L163" s="109"/>
      <c r="M163" s="109"/>
    </row>
    <row r="164" spans="1:13" s="222" customFormat="1" ht="14.25" thickBot="1">
      <c r="A164" s="949" t="s">
        <v>3</v>
      </c>
      <c r="B164" s="950"/>
      <c r="C164" s="36">
        <f>C165+C167+C169</f>
        <v>234800</v>
      </c>
      <c r="D164" s="24"/>
      <c r="E164" s="24"/>
      <c r="F164" s="108"/>
      <c r="G164" s="250"/>
      <c r="H164" s="250"/>
      <c r="I164" s="250"/>
      <c r="J164" s="250"/>
      <c r="K164" s="250"/>
      <c r="L164" s="109"/>
      <c r="M164" s="109"/>
    </row>
    <row r="165" spans="1:11" s="223" customFormat="1" ht="13.5" customHeight="1">
      <c r="A165" s="813" t="s">
        <v>122</v>
      </c>
      <c r="B165" s="95" t="s">
        <v>175</v>
      </c>
      <c r="C165" s="34">
        <f>SUM(C166)</f>
        <v>122000</v>
      </c>
      <c r="D165" s="137"/>
      <c r="E165" s="137"/>
      <c r="F165" s="225"/>
      <c r="G165" s="224"/>
      <c r="H165" s="224"/>
      <c r="I165" s="224"/>
      <c r="J165" s="224"/>
      <c r="K165" s="224"/>
    </row>
    <row r="166" spans="1:13" s="222" customFormat="1" ht="13.5" customHeight="1" hidden="1">
      <c r="A166" s="105" t="s">
        <v>174</v>
      </c>
      <c r="B166" s="105" t="s">
        <v>97</v>
      </c>
      <c r="C166" s="821">
        <v>122000</v>
      </c>
      <c r="D166" s="272"/>
      <c r="E166" s="24"/>
      <c r="F166" s="108"/>
      <c r="G166" s="250"/>
      <c r="H166" s="250"/>
      <c r="I166" s="250"/>
      <c r="J166" s="250"/>
      <c r="K166" s="250"/>
      <c r="L166" s="109"/>
      <c r="M166" s="109"/>
    </row>
    <row r="167" spans="1:13" s="222" customFormat="1" ht="13.5" customHeight="1">
      <c r="A167" s="95" t="s">
        <v>143</v>
      </c>
      <c r="B167" s="812" t="s">
        <v>61</v>
      </c>
      <c r="C167" s="26">
        <f>SUM(C168)</f>
        <v>35000</v>
      </c>
      <c r="D167" s="24"/>
      <c r="E167" s="24"/>
      <c r="F167" s="108"/>
      <c r="G167" s="250"/>
      <c r="H167" s="250"/>
      <c r="I167" s="250"/>
      <c r="J167" s="250"/>
      <c r="K167" s="250"/>
      <c r="L167" s="109"/>
      <c r="M167" s="109"/>
    </row>
    <row r="168" spans="1:13" s="222" customFormat="1" ht="13.5" customHeight="1" hidden="1">
      <c r="A168" s="86" t="s">
        <v>105</v>
      </c>
      <c r="B168" s="57" t="s">
        <v>106</v>
      </c>
      <c r="C168" s="821">
        <v>35000</v>
      </c>
      <c r="D168" s="24"/>
      <c r="E168" s="24"/>
      <c r="F168" s="108"/>
      <c r="G168" s="250"/>
      <c r="H168" s="250"/>
      <c r="I168" s="250"/>
      <c r="J168" s="250"/>
      <c r="K168" s="250"/>
      <c r="L168" s="109"/>
      <c r="M168" s="109"/>
    </row>
    <row r="169" spans="1:11" s="223" customFormat="1" ht="13.5" customHeight="1">
      <c r="A169" s="12" t="s">
        <v>125</v>
      </c>
      <c r="B169" s="353" t="s">
        <v>8</v>
      </c>
      <c r="C169" s="34">
        <f>SUM(C170:C173)</f>
        <v>77800</v>
      </c>
      <c r="D169" s="137"/>
      <c r="E169" s="137"/>
      <c r="F169" s="225"/>
      <c r="G169" s="224"/>
      <c r="H169" s="224"/>
      <c r="I169" s="224"/>
      <c r="J169" s="224"/>
      <c r="K169" s="224"/>
    </row>
    <row r="170" spans="1:13" s="222" customFormat="1" ht="13.5" customHeight="1" hidden="1">
      <c r="A170" s="13" t="s">
        <v>99</v>
      </c>
      <c r="B170" s="107" t="s">
        <v>8</v>
      </c>
      <c r="C170" s="821">
        <f>76000-30000</f>
        <v>46000</v>
      </c>
      <c r="D170" s="24"/>
      <c r="E170" s="24"/>
      <c r="F170" s="108"/>
      <c r="G170" s="250"/>
      <c r="H170" s="250"/>
      <c r="I170" s="250"/>
      <c r="J170" s="250"/>
      <c r="K170" s="250"/>
      <c r="L170" s="109"/>
      <c r="M170" s="109"/>
    </row>
    <row r="171" spans="1:13" s="222" customFormat="1" ht="13.5" customHeight="1" hidden="1">
      <c r="A171" s="13" t="s">
        <v>205</v>
      </c>
      <c r="B171" s="107" t="s">
        <v>54</v>
      </c>
      <c r="C171" s="821">
        <v>8400</v>
      </c>
      <c r="D171" s="24"/>
      <c r="E171" s="24"/>
      <c r="F171" s="108"/>
      <c r="G171" s="250"/>
      <c r="H171" s="250"/>
      <c r="I171" s="250"/>
      <c r="J171" s="250"/>
      <c r="K171" s="250"/>
      <c r="L171" s="109"/>
      <c r="M171" s="109"/>
    </row>
    <row r="172" spans="1:13" s="222" customFormat="1" ht="13.5" customHeight="1" hidden="1">
      <c r="A172" s="13" t="s">
        <v>268</v>
      </c>
      <c r="B172" s="57" t="s">
        <v>267</v>
      </c>
      <c r="C172" s="821">
        <v>10800</v>
      </c>
      <c r="D172" s="24"/>
      <c r="E172" s="24"/>
      <c r="F172" s="108"/>
      <c r="G172" s="250"/>
      <c r="H172" s="250"/>
      <c r="I172" s="250"/>
      <c r="J172" s="250"/>
      <c r="K172" s="250"/>
      <c r="L172" s="109"/>
      <c r="M172" s="109"/>
    </row>
    <row r="173" spans="1:13" s="222" customFormat="1" ht="13.5" customHeight="1" hidden="1">
      <c r="A173" s="13" t="s">
        <v>266</v>
      </c>
      <c r="B173" s="105" t="s">
        <v>265</v>
      </c>
      <c r="C173" s="821">
        <v>12600</v>
      </c>
      <c r="D173" s="24"/>
      <c r="E173" s="24"/>
      <c r="F173" s="108"/>
      <c r="G173" s="250"/>
      <c r="H173" s="250"/>
      <c r="I173" s="250"/>
      <c r="J173" s="250"/>
      <c r="K173" s="250"/>
      <c r="L173" s="109"/>
      <c r="M173" s="109"/>
    </row>
    <row r="174" spans="1:13" s="222" customFormat="1" ht="14.25" thickBot="1">
      <c r="A174" s="107"/>
      <c r="B174" s="107"/>
      <c r="C174" s="24"/>
      <c r="D174" s="24"/>
      <c r="E174" s="24"/>
      <c r="F174" s="108"/>
      <c r="G174" s="250"/>
      <c r="H174" s="250"/>
      <c r="I174" s="250"/>
      <c r="J174" s="250"/>
      <c r="K174" s="250"/>
      <c r="L174" s="109"/>
      <c r="M174" s="109"/>
    </row>
    <row r="175" spans="1:13" s="222" customFormat="1" ht="14.25" thickBot="1">
      <c r="A175" s="951" t="s">
        <v>4</v>
      </c>
      <c r="B175" s="952"/>
      <c r="C175" s="32">
        <f>C176+C178+C180</f>
        <v>25400</v>
      </c>
      <c r="D175" s="24"/>
      <c r="E175" s="24"/>
      <c r="F175" s="108"/>
      <c r="G175" s="250"/>
      <c r="H175" s="250"/>
      <c r="I175" s="250"/>
      <c r="J175" s="250"/>
      <c r="K175" s="250"/>
      <c r="L175" s="109"/>
      <c r="M175" s="109"/>
    </row>
    <row r="176" spans="1:11" s="223" customFormat="1" ht="13.5" customHeight="1">
      <c r="A176" s="353" t="s">
        <v>126</v>
      </c>
      <c r="B176" s="404" t="s">
        <v>127</v>
      </c>
      <c r="C176" s="34">
        <f>SUM(C177:C177)</f>
        <v>12450</v>
      </c>
      <c r="D176" s="137"/>
      <c r="E176" s="137"/>
      <c r="F176" s="225"/>
      <c r="G176" s="224"/>
      <c r="H176" s="224"/>
      <c r="I176" s="224"/>
      <c r="J176" s="224"/>
      <c r="K176" s="224"/>
    </row>
    <row r="177" spans="1:13" s="222" customFormat="1" ht="13.5" customHeight="1" hidden="1">
      <c r="A177" s="107" t="s">
        <v>101</v>
      </c>
      <c r="B177" s="57" t="s">
        <v>152</v>
      </c>
      <c r="C177" s="821">
        <v>12450</v>
      </c>
      <c r="D177" s="24"/>
      <c r="E177" s="24"/>
      <c r="F177" s="108"/>
      <c r="G177" s="250"/>
      <c r="H177" s="250"/>
      <c r="I177" s="250"/>
      <c r="J177" s="250"/>
      <c r="K177" s="250"/>
      <c r="L177" s="109"/>
      <c r="M177" s="109"/>
    </row>
    <row r="178" spans="1:13" s="9" customFormat="1" ht="13.5" customHeight="1">
      <c r="A178" s="353" t="s">
        <v>142</v>
      </c>
      <c r="B178" s="26" t="s">
        <v>55</v>
      </c>
      <c r="C178" s="33">
        <f>SUM(C179)</f>
        <v>9350</v>
      </c>
      <c r="D178" s="115"/>
      <c r="E178" s="26"/>
      <c r="F178" s="135"/>
      <c r="G178" s="71"/>
      <c r="H178" s="57"/>
      <c r="I178" s="57"/>
      <c r="J178" s="57"/>
      <c r="K178" s="57"/>
      <c r="L178" s="57"/>
      <c r="M178" s="57"/>
    </row>
    <row r="179" spans="1:13" s="9" customFormat="1" ht="13.5" customHeight="1" hidden="1">
      <c r="A179" s="107" t="s">
        <v>275</v>
      </c>
      <c r="B179" s="24" t="s">
        <v>55</v>
      </c>
      <c r="C179" s="821">
        <v>9350</v>
      </c>
      <c r="D179" s="115"/>
      <c r="E179" s="26"/>
      <c r="F179" s="70"/>
      <c r="G179" s="108"/>
      <c r="H179" s="57"/>
      <c r="I179" s="57"/>
      <c r="J179" s="57"/>
      <c r="K179" s="57"/>
      <c r="L179" s="57"/>
      <c r="M179" s="57"/>
    </row>
    <row r="180" spans="1:13" s="222" customFormat="1" ht="13.5" customHeight="1">
      <c r="A180" s="353" t="s">
        <v>188</v>
      </c>
      <c r="B180" s="26" t="s">
        <v>146</v>
      </c>
      <c r="C180" s="26">
        <f>SUM(C181)</f>
        <v>3600</v>
      </c>
      <c r="D180" s="24"/>
      <c r="E180" s="24"/>
      <c r="F180" s="108"/>
      <c r="G180" s="250"/>
      <c r="H180" s="250"/>
      <c r="I180" s="250"/>
      <c r="J180" s="250"/>
      <c r="K180" s="250"/>
      <c r="L180" s="109"/>
      <c r="M180" s="109"/>
    </row>
    <row r="181" spans="1:13" s="222" customFormat="1" ht="13.5" customHeight="1" hidden="1">
      <c r="A181" s="107" t="s">
        <v>189</v>
      </c>
      <c r="B181" s="57" t="s">
        <v>56</v>
      </c>
      <c r="C181" s="821">
        <v>3600</v>
      </c>
      <c r="D181" s="24"/>
      <c r="E181" s="24"/>
      <c r="F181" s="108"/>
      <c r="G181" s="250"/>
      <c r="H181" s="250"/>
      <c r="I181" s="250"/>
      <c r="J181" s="250"/>
      <c r="K181" s="250"/>
      <c r="L181" s="109"/>
      <c r="M181" s="109"/>
    </row>
    <row r="182" spans="1:13" s="222" customFormat="1" ht="13.5" customHeight="1">
      <c r="A182" s="107"/>
      <c r="B182" s="57"/>
      <c r="C182" s="24"/>
      <c r="D182" s="24"/>
      <c r="E182" s="24"/>
      <c r="F182" s="108"/>
      <c r="G182" s="250"/>
      <c r="H182" s="250"/>
      <c r="I182" s="250"/>
      <c r="J182" s="250"/>
      <c r="K182" s="250"/>
      <c r="L182" s="109"/>
      <c r="M182" s="109"/>
    </row>
    <row r="183" spans="3:13" s="68" customFormat="1" ht="13.5" thickBot="1">
      <c r="C183" s="94"/>
      <c r="D183" s="94"/>
      <c r="E183" s="94"/>
      <c r="F183" s="99"/>
      <c r="G183" s="104"/>
      <c r="H183" s="104"/>
      <c r="I183" s="104"/>
      <c r="J183" s="104"/>
      <c r="K183" s="104"/>
      <c r="L183" s="104"/>
      <c r="M183" s="104"/>
    </row>
    <row r="184" spans="1:13" s="68" customFormat="1" ht="12.75">
      <c r="A184" s="64" t="s">
        <v>274</v>
      </c>
      <c r="B184" s="73"/>
      <c r="C184" s="74"/>
      <c r="D184" s="75" t="s">
        <v>6</v>
      </c>
      <c r="E184" s="76" t="s">
        <v>1178</v>
      </c>
      <c r="F184" s="99"/>
      <c r="G184" s="104"/>
      <c r="H184" s="104"/>
      <c r="I184" s="104"/>
      <c r="J184" s="104"/>
      <c r="K184" s="104"/>
      <c r="L184" s="104"/>
      <c r="M184" s="104"/>
    </row>
    <row r="185" spans="1:13" s="68" customFormat="1" ht="13.5" thickBot="1">
      <c r="A185" s="49"/>
      <c r="B185" s="82"/>
      <c r="C185" s="83"/>
      <c r="D185" s="174"/>
      <c r="E185" s="173"/>
      <c r="F185" s="99"/>
      <c r="G185" s="104"/>
      <c r="H185" s="104"/>
      <c r="I185" s="104"/>
      <c r="J185" s="104"/>
      <c r="K185" s="104"/>
      <c r="L185" s="104"/>
      <c r="M185" s="104"/>
    </row>
    <row r="186" spans="1:13" s="68" customFormat="1" ht="13.5" thickBot="1">
      <c r="A186" s="81" t="s">
        <v>273</v>
      </c>
      <c r="B186" s="78"/>
      <c r="C186" s="79"/>
      <c r="D186" s="79"/>
      <c r="E186" s="80"/>
      <c r="F186" s="99"/>
      <c r="G186" s="104"/>
      <c r="H186" s="104"/>
      <c r="I186" s="104"/>
      <c r="J186" s="104"/>
      <c r="K186" s="104"/>
      <c r="L186" s="104"/>
      <c r="M186" s="104"/>
    </row>
    <row r="187" spans="1:13" s="68" customFormat="1" ht="13.5">
      <c r="A187" s="52" t="s">
        <v>1365</v>
      </c>
      <c r="B187" s="241"/>
      <c r="C187" s="240"/>
      <c r="D187" s="240"/>
      <c r="E187" s="239"/>
      <c r="F187" s="99"/>
      <c r="G187" s="104"/>
      <c r="H187" s="104"/>
      <c r="I187" s="104"/>
      <c r="J187" s="104"/>
      <c r="K187" s="104"/>
      <c r="L187" s="104"/>
      <c r="M187" s="104"/>
    </row>
    <row r="188" spans="1:6" s="104" customFormat="1" ht="13.5">
      <c r="A188" s="85" t="s">
        <v>225</v>
      </c>
      <c r="B188" s="86"/>
      <c r="C188" s="87"/>
      <c r="D188" s="87"/>
      <c r="E188" s="88"/>
      <c r="F188" s="99"/>
    </row>
    <row r="189" spans="1:6" s="104" customFormat="1" ht="13.5">
      <c r="A189" s="85" t="s">
        <v>1421</v>
      </c>
      <c r="B189" s="86"/>
      <c r="C189" s="87"/>
      <c r="D189" s="87"/>
      <c r="E189" s="88"/>
      <c r="F189" s="99"/>
    </row>
    <row r="190" spans="1:13" s="68" customFormat="1" ht="14.25" thickBot="1">
      <c r="A190" s="238" t="s">
        <v>16</v>
      </c>
      <c r="B190" s="237"/>
      <c r="C190" s="236"/>
      <c r="D190" s="236"/>
      <c r="E190" s="235"/>
      <c r="F190" s="99"/>
      <c r="G190" s="104"/>
      <c r="H190" s="104"/>
      <c r="I190" s="104"/>
      <c r="J190" s="104"/>
      <c r="K190" s="104"/>
      <c r="L190" s="104"/>
      <c r="M190" s="104"/>
    </row>
    <row r="191" spans="1:13" s="68" customFormat="1" ht="14.25" thickBot="1">
      <c r="A191" s="89" t="s">
        <v>17</v>
      </c>
      <c r="B191" s="90"/>
      <c r="C191" s="91"/>
      <c r="D191" s="92"/>
      <c r="E191" s="93">
        <f>+C193+C204+C221</f>
        <v>2995040</v>
      </c>
      <c r="F191" s="99"/>
      <c r="G191" s="99"/>
      <c r="H191" s="104"/>
      <c r="I191" s="104"/>
      <c r="J191" s="104"/>
      <c r="K191" s="104"/>
      <c r="L191" s="104"/>
      <c r="M191" s="104"/>
    </row>
    <row r="192" spans="1:13" s="68" customFormat="1" ht="14.25" thickBot="1">
      <c r="A192" s="95"/>
      <c r="B192" s="95"/>
      <c r="C192" s="96"/>
      <c r="D192" s="96"/>
      <c r="E192" s="825"/>
      <c r="F192" s="99"/>
      <c r="G192" s="104"/>
      <c r="H192" s="104"/>
      <c r="I192" s="104"/>
      <c r="J192" s="104"/>
      <c r="K192" s="104"/>
      <c r="L192" s="104"/>
      <c r="M192" s="104"/>
    </row>
    <row r="193" spans="1:13" s="100" customFormat="1" ht="14.25" thickBot="1">
      <c r="A193" s="955" t="s">
        <v>2</v>
      </c>
      <c r="B193" s="956"/>
      <c r="C193" s="97">
        <f>C194+C196+C198+C200</f>
        <v>368240</v>
      </c>
      <c r="D193" s="102"/>
      <c r="E193" s="102"/>
      <c r="F193" s="79"/>
      <c r="G193" s="78"/>
      <c r="H193" s="78"/>
      <c r="I193" s="78"/>
      <c r="J193" s="78"/>
      <c r="K193" s="78"/>
      <c r="L193" s="78"/>
      <c r="M193" s="78"/>
    </row>
    <row r="194" spans="1:6" s="78" customFormat="1" ht="13.5">
      <c r="A194" s="353" t="s">
        <v>223</v>
      </c>
      <c r="B194" s="404" t="s">
        <v>272</v>
      </c>
      <c r="C194" s="96">
        <f>SUM(C195)</f>
        <v>89800</v>
      </c>
      <c r="D194" s="79"/>
      <c r="E194" s="79"/>
      <c r="F194" s="79"/>
    </row>
    <row r="195" spans="1:7" s="57" customFormat="1" ht="13.5" customHeight="1" hidden="1">
      <c r="A195" s="13" t="s">
        <v>271</v>
      </c>
      <c r="B195" s="9" t="s">
        <v>270</v>
      </c>
      <c r="C195" s="821">
        <f>109800-20000</f>
        <v>89800</v>
      </c>
      <c r="D195" s="137"/>
      <c r="E195" s="33"/>
      <c r="F195" s="70"/>
      <c r="G195" s="71"/>
    </row>
    <row r="196" spans="1:7" s="57" customFormat="1" ht="13.5" customHeight="1">
      <c r="A196" s="12" t="s">
        <v>115</v>
      </c>
      <c r="B196" s="791" t="s">
        <v>116</v>
      </c>
      <c r="C196" s="33">
        <f>SUM(C197)</f>
        <v>91740</v>
      </c>
      <c r="D196" s="23"/>
      <c r="E196" s="33"/>
      <c r="F196" s="70"/>
      <c r="G196" s="71"/>
    </row>
    <row r="197" spans="1:7" s="57" customFormat="1" ht="13.5" customHeight="1" hidden="1">
      <c r="A197" s="13" t="s">
        <v>96</v>
      </c>
      <c r="B197" s="9" t="s">
        <v>71</v>
      </c>
      <c r="C197" s="821">
        <v>91740</v>
      </c>
      <c r="D197" s="23"/>
      <c r="E197" s="33"/>
      <c r="F197" s="70"/>
      <c r="G197" s="71"/>
    </row>
    <row r="198" spans="1:7" s="57" customFormat="1" ht="13.5" customHeight="1">
      <c r="A198" s="12" t="s">
        <v>117</v>
      </c>
      <c r="B198" s="791" t="s">
        <v>118</v>
      </c>
      <c r="C198" s="33">
        <f>SUM(C199)</f>
        <v>38280</v>
      </c>
      <c r="D198" s="23"/>
      <c r="E198" s="33"/>
      <c r="F198" s="70"/>
      <c r="G198" s="71"/>
    </row>
    <row r="199" spans="1:13" s="100" customFormat="1" ht="13.5" hidden="1">
      <c r="A199" s="13" t="s">
        <v>51</v>
      </c>
      <c r="B199" s="24" t="s">
        <v>52</v>
      </c>
      <c r="C199" s="822">
        <v>38280</v>
      </c>
      <c r="D199" s="102"/>
      <c r="E199" s="102"/>
      <c r="F199" s="79"/>
      <c r="G199" s="78"/>
      <c r="H199" s="78"/>
      <c r="I199" s="78"/>
      <c r="J199" s="78"/>
      <c r="K199" s="78"/>
      <c r="L199" s="78"/>
      <c r="M199" s="78"/>
    </row>
    <row r="200" spans="1:13" s="100" customFormat="1" ht="13.5">
      <c r="A200" s="353" t="s">
        <v>169</v>
      </c>
      <c r="B200" s="26" t="s">
        <v>135</v>
      </c>
      <c r="C200" s="811">
        <f>SUM(C201:C202)</f>
        <v>148420</v>
      </c>
      <c r="D200" s="102"/>
      <c r="E200" s="102"/>
      <c r="F200" s="79"/>
      <c r="G200" s="78"/>
      <c r="H200" s="78"/>
      <c r="I200" s="78"/>
      <c r="J200" s="78"/>
      <c r="K200" s="78"/>
      <c r="L200" s="78"/>
      <c r="M200" s="78"/>
    </row>
    <row r="201" spans="1:13" s="100" customFormat="1" ht="13.5" hidden="1">
      <c r="A201" s="105" t="s">
        <v>171</v>
      </c>
      <c r="B201" s="105" t="s">
        <v>269</v>
      </c>
      <c r="C201" s="822">
        <v>122820</v>
      </c>
      <c r="D201" s="102"/>
      <c r="E201" s="102"/>
      <c r="F201" s="79"/>
      <c r="G201" s="78"/>
      <c r="H201" s="78"/>
      <c r="I201" s="78"/>
      <c r="J201" s="78"/>
      <c r="K201" s="78"/>
      <c r="L201" s="78"/>
      <c r="M201" s="78"/>
    </row>
    <row r="202" spans="1:13" s="100" customFormat="1" ht="13.5" hidden="1">
      <c r="A202" s="107" t="s">
        <v>172</v>
      </c>
      <c r="B202" s="24" t="s">
        <v>144</v>
      </c>
      <c r="C202" s="822">
        <f>45600-20000</f>
        <v>25600</v>
      </c>
      <c r="D202" s="102"/>
      <c r="E202" s="102"/>
      <c r="F202" s="79"/>
      <c r="G202" s="78"/>
      <c r="H202" s="78"/>
      <c r="I202" s="78"/>
      <c r="J202" s="78"/>
      <c r="K202" s="78"/>
      <c r="L202" s="78"/>
      <c r="M202" s="78"/>
    </row>
    <row r="203" spans="1:13" s="100" customFormat="1" ht="14.25" thickBot="1">
      <c r="A203" s="107"/>
      <c r="B203" s="24"/>
      <c r="C203" s="87"/>
      <c r="D203" s="102"/>
      <c r="E203" s="102"/>
      <c r="F203" s="79"/>
      <c r="G203" s="78"/>
      <c r="H203" s="78"/>
      <c r="I203" s="78"/>
      <c r="J203" s="78"/>
      <c r="K203" s="78"/>
      <c r="L203" s="78"/>
      <c r="M203" s="78"/>
    </row>
    <row r="204" spans="1:13" s="100" customFormat="1" ht="14.25" thickBot="1">
      <c r="A204" s="957" t="s">
        <v>3</v>
      </c>
      <c r="B204" s="958"/>
      <c r="C204" s="98">
        <f>C205+C208+C210+C213</f>
        <v>2600200</v>
      </c>
      <c r="D204" s="102"/>
      <c r="E204" s="102"/>
      <c r="F204" s="79"/>
      <c r="G204" s="78"/>
      <c r="H204" s="78"/>
      <c r="I204" s="78"/>
      <c r="J204" s="78"/>
      <c r="K204" s="78"/>
      <c r="L204" s="78"/>
      <c r="M204" s="78"/>
    </row>
    <row r="205" spans="1:6" s="78" customFormat="1" ht="13.5">
      <c r="A205" s="353" t="s">
        <v>120</v>
      </c>
      <c r="B205" s="404" t="s">
        <v>121</v>
      </c>
      <c r="C205" s="96">
        <f>SUM(C206:C207)</f>
        <v>826500</v>
      </c>
      <c r="D205" s="79"/>
      <c r="E205" s="79"/>
      <c r="F205" s="79"/>
    </row>
    <row r="206" spans="1:13" s="100" customFormat="1" ht="13.5" hidden="1">
      <c r="A206" s="86" t="s">
        <v>57</v>
      </c>
      <c r="B206" s="86" t="s">
        <v>18</v>
      </c>
      <c r="C206" s="822">
        <f>187700-20000</f>
        <v>167700</v>
      </c>
      <c r="D206" s="87"/>
      <c r="E206" s="102"/>
      <c r="F206" s="79"/>
      <c r="G206" s="78"/>
      <c r="H206" s="78"/>
      <c r="I206" s="78"/>
      <c r="J206" s="78"/>
      <c r="K206" s="78"/>
      <c r="L206" s="78"/>
      <c r="M206" s="78"/>
    </row>
    <row r="207" spans="1:13" s="100" customFormat="1" ht="13.5" hidden="1">
      <c r="A207" s="107" t="s">
        <v>717</v>
      </c>
      <c r="B207" s="25" t="s">
        <v>718</v>
      </c>
      <c r="C207" s="821">
        <f>(549000+150000)*1.2-100000-80000</f>
        <v>658800</v>
      </c>
      <c r="F207" s="87"/>
      <c r="G207" s="79"/>
      <c r="H207" s="78"/>
      <c r="I207" s="78"/>
      <c r="J207" s="78"/>
      <c r="K207" s="78"/>
      <c r="L207" s="78"/>
      <c r="M207" s="78"/>
    </row>
    <row r="208" spans="1:13" s="100" customFormat="1" ht="13.5">
      <c r="A208" s="813" t="s">
        <v>130</v>
      </c>
      <c r="B208" s="814" t="s">
        <v>131</v>
      </c>
      <c r="C208" s="33">
        <f>SUM(C209:C209)</f>
        <v>12500</v>
      </c>
      <c r="F208" s="79"/>
      <c r="G208" s="78"/>
      <c r="H208" s="78"/>
      <c r="I208" s="78"/>
      <c r="J208" s="78"/>
      <c r="K208" s="78"/>
      <c r="L208" s="78"/>
      <c r="M208" s="78"/>
    </row>
    <row r="209" spans="1:13" s="100" customFormat="1" ht="13.5" hidden="1">
      <c r="A209" s="86" t="s">
        <v>148</v>
      </c>
      <c r="B209" s="86" t="s">
        <v>77</v>
      </c>
      <c r="C209" s="821">
        <v>12500</v>
      </c>
      <c r="F209" s="79"/>
      <c r="G209" s="78"/>
      <c r="H209" s="78"/>
      <c r="I209" s="78"/>
      <c r="J209" s="78"/>
      <c r="K209" s="78"/>
      <c r="L209" s="78"/>
      <c r="M209" s="78"/>
    </row>
    <row r="210" spans="1:13" s="100" customFormat="1" ht="13.5">
      <c r="A210" s="813" t="s">
        <v>122</v>
      </c>
      <c r="B210" s="812" t="s">
        <v>132</v>
      </c>
      <c r="C210" s="96">
        <f>SUM(C211:C212)</f>
        <v>111400</v>
      </c>
      <c r="F210" s="87"/>
      <c r="G210" s="79"/>
      <c r="H210" s="78"/>
      <c r="I210" s="78"/>
      <c r="J210" s="78"/>
      <c r="K210" s="78"/>
      <c r="L210" s="78"/>
      <c r="M210" s="78"/>
    </row>
    <row r="211" spans="1:13" s="100" customFormat="1" ht="13.5" hidden="1">
      <c r="A211" s="107" t="s">
        <v>150</v>
      </c>
      <c r="B211" s="57" t="s">
        <v>149</v>
      </c>
      <c r="C211" s="822">
        <v>6600</v>
      </c>
      <c r="F211" s="87"/>
      <c r="G211" s="79"/>
      <c r="H211" s="78"/>
      <c r="I211" s="78"/>
      <c r="J211" s="78"/>
      <c r="K211" s="78"/>
      <c r="L211" s="78"/>
      <c r="M211" s="78"/>
    </row>
    <row r="212" spans="1:13" s="100" customFormat="1" ht="13.5" hidden="1">
      <c r="A212" s="107" t="s">
        <v>53</v>
      </c>
      <c r="B212" s="24" t="s">
        <v>97</v>
      </c>
      <c r="C212" s="822">
        <f>+(8600*5)+(10300*6)</f>
        <v>104800</v>
      </c>
      <c r="F212" s="87"/>
      <c r="G212" s="79"/>
      <c r="H212" s="78"/>
      <c r="I212" s="78"/>
      <c r="J212" s="78"/>
      <c r="K212" s="78"/>
      <c r="L212" s="78"/>
      <c r="M212" s="78"/>
    </row>
    <row r="213" spans="1:13" s="100" customFormat="1" ht="13.5">
      <c r="A213" s="353" t="s">
        <v>125</v>
      </c>
      <c r="B213" s="813" t="s">
        <v>8</v>
      </c>
      <c r="C213" s="811">
        <f>SUM(C214:C219)</f>
        <v>1649800</v>
      </c>
      <c r="F213" s="148"/>
      <c r="G213" s="79"/>
      <c r="H213" s="78"/>
      <c r="I213" s="78"/>
      <c r="J213" s="78"/>
      <c r="K213" s="78"/>
      <c r="L213" s="78"/>
      <c r="M213" s="78"/>
    </row>
    <row r="214" spans="1:13" s="100" customFormat="1" ht="13.5" hidden="1">
      <c r="A214" s="105" t="s">
        <v>99</v>
      </c>
      <c r="B214" s="105" t="s">
        <v>8</v>
      </c>
      <c r="C214" s="822">
        <v>58500</v>
      </c>
      <c r="F214" s="79"/>
      <c r="G214" s="79"/>
      <c r="H214" s="78"/>
      <c r="I214" s="78"/>
      <c r="J214" s="78"/>
      <c r="K214" s="78"/>
      <c r="L214" s="78"/>
      <c r="M214" s="78"/>
    </row>
    <row r="215" spans="1:13" s="100" customFormat="1" ht="13.5" hidden="1">
      <c r="A215" s="105" t="s">
        <v>205</v>
      </c>
      <c r="B215" s="105" t="s">
        <v>54</v>
      </c>
      <c r="C215" s="822">
        <v>5100</v>
      </c>
      <c r="F215" s="79"/>
      <c r="G215" s="79"/>
      <c r="H215" s="78"/>
      <c r="I215" s="78"/>
      <c r="J215" s="78"/>
      <c r="K215" s="78"/>
      <c r="L215" s="78"/>
      <c r="M215" s="78"/>
    </row>
    <row r="216" spans="1:13" s="100" customFormat="1" ht="13.5" hidden="1">
      <c r="A216" s="105" t="s">
        <v>203</v>
      </c>
      <c r="B216" s="105" t="s">
        <v>202</v>
      </c>
      <c r="C216" s="822">
        <v>23700</v>
      </c>
      <c r="F216" s="79"/>
      <c r="G216" s="79"/>
      <c r="H216" s="78"/>
      <c r="I216" s="78"/>
      <c r="J216" s="78"/>
      <c r="K216" s="78"/>
      <c r="L216" s="78"/>
      <c r="M216" s="78"/>
    </row>
    <row r="217" spans="1:13" s="100" customFormat="1" ht="13.5" hidden="1">
      <c r="A217" s="105" t="s">
        <v>268</v>
      </c>
      <c r="B217" s="57" t="s">
        <v>267</v>
      </c>
      <c r="C217" s="822">
        <v>208000</v>
      </c>
      <c r="F217" s="79"/>
      <c r="G217" s="79"/>
      <c r="H217" s="78"/>
      <c r="I217" s="78"/>
      <c r="J217" s="78"/>
      <c r="K217" s="78"/>
      <c r="L217" s="78"/>
      <c r="M217" s="78"/>
    </row>
    <row r="218" spans="1:13" s="100" customFormat="1" ht="13.5" hidden="1">
      <c r="A218" s="105" t="s">
        <v>266</v>
      </c>
      <c r="B218" s="105" t="s">
        <v>265</v>
      </c>
      <c r="C218" s="822">
        <f>2190000-600000-300000</f>
        <v>1290000</v>
      </c>
      <c r="F218" s="79"/>
      <c r="G218" s="79"/>
      <c r="H218" s="78"/>
      <c r="I218" s="78"/>
      <c r="J218" s="78"/>
      <c r="K218" s="78"/>
      <c r="L218" s="78"/>
      <c r="M218" s="78"/>
    </row>
    <row r="219" spans="1:13" s="100" customFormat="1" ht="13.5" hidden="1">
      <c r="A219" s="105" t="s">
        <v>100</v>
      </c>
      <c r="B219" s="105" t="s">
        <v>7</v>
      </c>
      <c r="C219" s="822">
        <f>114500-50000</f>
        <v>64500</v>
      </c>
      <c r="F219" s="87"/>
      <c r="G219" s="79"/>
      <c r="H219" s="78"/>
      <c r="I219" s="78"/>
      <c r="J219" s="78"/>
      <c r="K219" s="78"/>
      <c r="L219" s="78"/>
      <c r="M219" s="78"/>
    </row>
    <row r="220" spans="1:13" s="100" customFormat="1" ht="14.25" thickBot="1">
      <c r="A220" s="105"/>
      <c r="B220" s="105"/>
      <c r="C220" s="87"/>
      <c r="D220" s="101"/>
      <c r="E220" s="79"/>
      <c r="F220" s="79"/>
      <c r="G220" s="78"/>
      <c r="H220" s="78"/>
      <c r="I220" s="78"/>
      <c r="J220" s="78"/>
      <c r="K220" s="78"/>
      <c r="L220" s="78"/>
      <c r="M220" s="78"/>
    </row>
    <row r="221" spans="1:13" s="100" customFormat="1" ht="14.25" thickBot="1">
      <c r="A221" s="959" t="s">
        <v>4</v>
      </c>
      <c r="B221" s="960"/>
      <c r="C221" s="103">
        <f>C222+C225</f>
        <v>26600</v>
      </c>
      <c r="D221" s="102"/>
      <c r="E221" s="102"/>
      <c r="F221" s="79"/>
      <c r="G221" s="78"/>
      <c r="H221" s="78"/>
      <c r="I221" s="78"/>
      <c r="J221" s="78"/>
      <c r="K221" s="78"/>
      <c r="L221" s="78"/>
      <c r="M221" s="78"/>
    </row>
    <row r="222" spans="1:6" s="78" customFormat="1" ht="13.5">
      <c r="A222" s="353" t="s">
        <v>126</v>
      </c>
      <c r="B222" s="286" t="s">
        <v>127</v>
      </c>
      <c r="C222" s="96">
        <f>SUM(C223:C224)</f>
        <v>20220</v>
      </c>
      <c r="D222" s="79"/>
      <c r="E222" s="79"/>
      <c r="F222" s="79"/>
    </row>
    <row r="223" spans="1:13" s="100" customFormat="1" ht="13.5" hidden="1">
      <c r="A223" s="107" t="s">
        <v>101</v>
      </c>
      <c r="B223" s="24" t="s">
        <v>9</v>
      </c>
      <c r="C223" s="822">
        <v>10200</v>
      </c>
      <c r="D223" s="102"/>
      <c r="E223" s="102"/>
      <c r="F223" s="79"/>
      <c r="G223" s="78"/>
      <c r="H223" s="78"/>
      <c r="I223" s="78"/>
      <c r="J223" s="78"/>
      <c r="K223" s="78"/>
      <c r="L223" s="78"/>
      <c r="M223" s="78"/>
    </row>
    <row r="224" spans="1:13" s="9" customFormat="1" ht="13.5" customHeight="1" hidden="1">
      <c r="A224" s="107" t="s">
        <v>62</v>
      </c>
      <c r="B224" s="24" t="s">
        <v>63</v>
      </c>
      <c r="C224" s="821">
        <f>8350*1.2</f>
        <v>10020</v>
      </c>
      <c r="D224" s="115"/>
      <c r="E224" s="26"/>
      <c r="F224" s="70"/>
      <c r="G224" s="108"/>
      <c r="H224" s="57"/>
      <c r="I224" s="57"/>
      <c r="J224" s="57"/>
      <c r="K224" s="57"/>
      <c r="L224" s="57"/>
      <c r="M224" s="57"/>
    </row>
    <row r="225" spans="1:13" s="9" customFormat="1" ht="13.5" customHeight="1">
      <c r="A225" s="353" t="s">
        <v>188</v>
      </c>
      <c r="B225" s="26" t="s">
        <v>145</v>
      </c>
      <c r="C225" s="26">
        <f>SUM(C226)</f>
        <v>6380</v>
      </c>
      <c r="D225" s="115"/>
      <c r="E225" s="26"/>
      <c r="F225" s="70"/>
      <c r="G225" s="108"/>
      <c r="H225" s="57"/>
      <c r="I225" s="57"/>
      <c r="J225" s="57"/>
      <c r="K225" s="57"/>
      <c r="L225" s="57"/>
      <c r="M225" s="57"/>
    </row>
    <row r="226" spans="1:13" s="9" customFormat="1" ht="13.5" customHeight="1" hidden="1">
      <c r="A226" s="107" t="s">
        <v>189</v>
      </c>
      <c r="B226" s="24" t="s">
        <v>56</v>
      </c>
      <c r="C226" s="821">
        <f>4830*1.3+101</f>
        <v>6380</v>
      </c>
      <c r="D226" s="115"/>
      <c r="E226" s="26"/>
      <c r="F226" s="135"/>
      <c r="G226" s="71"/>
      <c r="H226" s="57"/>
      <c r="I226" s="57"/>
      <c r="J226" s="57"/>
      <c r="K226" s="57"/>
      <c r="L226" s="57"/>
      <c r="M226" s="57"/>
    </row>
    <row r="227" spans="1:13" s="100" customFormat="1" ht="13.5">
      <c r="A227" s="105"/>
      <c r="B227" s="105"/>
      <c r="C227" s="101"/>
      <c r="D227" s="102"/>
      <c r="E227" s="102"/>
      <c r="F227" s="79"/>
      <c r="G227" s="78"/>
      <c r="H227" s="78"/>
      <c r="I227" s="78"/>
      <c r="J227" s="78"/>
      <c r="K227" s="78"/>
      <c r="L227" s="78"/>
      <c r="M227" s="78"/>
    </row>
    <row r="228" spans="1:13" s="229" customFormat="1" ht="14.25" thickBot="1">
      <c r="A228" s="232"/>
      <c r="B228" s="232"/>
      <c r="C228" s="234"/>
      <c r="D228" s="233"/>
      <c r="E228" s="232"/>
      <c r="F228" s="271"/>
      <c r="G228" s="256"/>
      <c r="H228" s="256"/>
      <c r="I228" s="256"/>
      <c r="J228" s="256"/>
      <c r="K228" s="256"/>
      <c r="L228" s="278"/>
      <c r="M228" s="278"/>
    </row>
    <row r="229" spans="1:13" s="231" customFormat="1" ht="13.5" customHeight="1">
      <c r="A229" s="64" t="s">
        <v>264</v>
      </c>
      <c r="B229" s="221"/>
      <c r="C229" s="220"/>
      <c r="D229" s="219" t="s">
        <v>6</v>
      </c>
      <c r="E229" s="218">
        <v>1105</v>
      </c>
      <c r="F229" s="271"/>
      <c r="G229" s="260"/>
      <c r="H229" s="260"/>
      <c r="I229" s="260"/>
      <c r="J229" s="260"/>
      <c r="K229" s="260"/>
      <c r="L229" s="924"/>
      <c r="M229" s="924"/>
    </row>
    <row r="230" spans="1:13" s="231" customFormat="1" ht="14.25" thickBot="1">
      <c r="A230" s="49"/>
      <c r="B230" s="205"/>
      <c r="C230" s="204"/>
      <c r="D230" s="217"/>
      <c r="E230" s="216"/>
      <c r="F230" s="271"/>
      <c r="G230" s="260"/>
      <c r="H230" s="260"/>
      <c r="I230" s="260"/>
      <c r="J230" s="260"/>
      <c r="K230" s="260"/>
      <c r="L230" s="924"/>
      <c r="M230" s="924"/>
    </row>
    <row r="231" spans="1:13" s="229" customFormat="1" ht="13.5" customHeight="1">
      <c r="A231" s="45" t="s">
        <v>263</v>
      </c>
      <c r="B231" s="208"/>
      <c r="C231" s="207"/>
      <c r="D231" s="208"/>
      <c r="E231" s="212"/>
      <c r="F231" s="271"/>
      <c r="G231" s="256"/>
      <c r="H231" s="256"/>
      <c r="I231" s="256"/>
      <c r="J231" s="256"/>
      <c r="K231" s="256"/>
      <c r="L231" s="278"/>
      <c r="M231" s="278"/>
    </row>
    <row r="232" spans="1:13" s="229" customFormat="1" ht="13.5" customHeight="1">
      <c r="A232" s="45" t="s">
        <v>262</v>
      </c>
      <c r="B232" s="208"/>
      <c r="C232" s="207"/>
      <c r="D232" s="208"/>
      <c r="E232" s="212"/>
      <c r="F232" s="271"/>
      <c r="G232" s="256"/>
      <c r="H232" s="256"/>
      <c r="I232" s="256"/>
      <c r="J232" s="256"/>
      <c r="K232" s="256"/>
      <c r="L232" s="278"/>
      <c r="M232" s="278"/>
    </row>
    <row r="233" spans="1:13" s="229" customFormat="1" ht="13.5" customHeight="1">
      <c r="A233" s="45" t="s">
        <v>261</v>
      </c>
      <c r="B233" s="208"/>
      <c r="C233" s="207"/>
      <c r="D233" s="208"/>
      <c r="E233" s="212"/>
      <c r="F233" s="271"/>
      <c r="G233" s="256"/>
      <c r="H233" s="256"/>
      <c r="I233" s="256"/>
      <c r="J233" s="256"/>
      <c r="K233" s="256"/>
      <c r="L233" s="278"/>
      <c r="M233" s="278"/>
    </row>
    <row r="234" spans="1:13" s="229" customFormat="1" ht="13.5" customHeight="1">
      <c r="A234" s="45" t="s">
        <v>260</v>
      </c>
      <c r="B234" s="208"/>
      <c r="C234" s="207"/>
      <c r="D234" s="208"/>
      <c r="E234" s="212"/>
      <c r="F234" s="271"/>
      <c r="G234" s="256"/>
      <c r="H234" s="256"/>
      <c r="I234" s="256"/>
      <c r="J234" s="256"/>
      <c r="K234" s="256"/>
      <c r="L234" s="278"/>
      <c r="M234" s="278"/>
    </row>
    <row r="235" spans="1:13" s="229" customFormat="1" ht="13.5" customHeight="1">
      <c r="A235" s="45" t="s">
        <v>259</v>
      </c>
      <c r="B235" s="208"/>
      <c r="C235" s="207"/>
      <c r="D235" s="208"/>
      <c r="E235" s="212"/>
      <c r="F235" s="271"/>
      <c r="G235" s="256"/>
      <c r="H235" s="256"/>
      <c r="I235" s="256"/>
      <c r="J235" s="256"/>
      <c r="K235" s="256"/>
      <c r="L235" s="278"/>
      <c r="M235" s="278"/>
    </row>
    <row r="236" spans="1:13" s="229" customFormat="1" ht="14.25" thickBot="1">
      <c r="A236" s="49" t="s">
        <v>258</v>
      </c>
      <c r="B236" s="205"/>
      <c r="C236" s="204"/>
      <c r="D236" s="205"/>
      <c r="E236" s="230"/>
      <c r="F236" s="271"/>
      <c r="G236" s="256"/>
      <c r="H236" s="256"/>
      <c r="I236" s="256"/>
      <c r="J236" s="256"/>
      <c r="K236" s="256"/>
      <c r="L236" s="278"/>
      <c r="M236" s="278"/>
    </row>
    <row r="237" spans="1:13" s="229" customFormat="1" ht="13.5" customHeight="1">
      <c r="A237" s="52" t="s">
        <v>1365</v>
      </c>
      <c r="B237" s="13"/>
      <c r="C237" s="199"/>
      <c r="D237" s="106"/>
      <c r="E237" s="197"/>
      <c r="F237" s="271"/>
      <c r="G237" s="256"/>
      <c r="H237" s="256"/>
      <c r="I237" s="256"/>
      <c r="J237" s="256"/>
      <c r="K237" s="256"/>
      <c r="L237" s="278"/>
      <c r="M237" s="278"/>
    </row>
    <row r="238" spans="1:13" s="229" customFormat="1" ht="13.5" customHeight="1">
      <c r="A238" s="85" t="s">
        <v>225</v>
      </c>
      <c r="B238" s="13"/>
      <c r="C238" s="199"/>
      <c r="D238" s="106"/>
      <c r="E238" s="197"/>
      <c r="F238" s="271"/>
      <c r="G238" s="256"/>
      <c r="H238" s="256"/>
      <c r="I238" s="256"/>
      <c r="J238" s="256"/>
      <c r="K238" s="256"/>
      <c r="L238" s="278"/>
      <c r="M238" s="278"/>
    </row>
    <row r="239" spans="1:13" s="229" customFormat="1" ht="13.5" customHeight="1">
      <c r="A239" s="85" t="s">
        <v>1421</v>
      </c>
      <c r="B239" s="13"/>
      <c r="C239" s="199"/>
      <c r="D239" s="106"/>
      <c r="E239" s="197"/>
      <c r="F239" s="271"/>
      <c r="G239" s="256"/>
      <c r="H239" s="256"/>
      <c r="I239" s="256"/>
      <c r="J239" s="256"/>
      <c r="K239" s="256"/>
      <c r="L239" s="278"/>
      <c r="M239" s="278"/>
    </row>
    <row r="240" spans="1:13" s="229" customFormat="1" ht="14.25" thickBot="1">
      <c r="A240" s="52" t="s">
        <v>11</v>
      </c>
      <c r="B240" s="13"/>
      <c r="C240" s="199"/>
      <c r="D240" s="106"/>
      <c r="E240" s="197"/>
      <c r="F240" s="271"/>
      <c r="G240" s="256"/>
      <c r="H240" s="256"/>
      <c r="I240" s="256"/>
      <c r="J240" s="256"/>
      <c r="K240" s="256"/>
      <c r="L240" s="278"/>
      <c r="M240" s="278"/>
    </row>
    <row r="241" spans="1:13" s="229" customFormat="1" ht="14.25" thickBot="1">
      <c r="A241" s="54" t="s">
        <v>257</v>
      </c>
      <c r="B241" s="192"/>
      <c r="C241" s="55"/>
      <c r="D241" s="191"/>
      <c r="E241" s="161">
        <f>+C243+C260+C271</f>
        <v>325190</v>
      </c>
      <c r="F241" s="271"/>
      <c r="G241" s="256"/>
      <c r="H241" s="256"/>
      <c r="I241" s="256"/>
      <c r="J241" s="256"/>
      <c r="K241" s="256"/>
      <c r="L241" s="278"/>
      <c r="M241" s="278"/>
    </row>
    <row r="242" spans="1:13" ht="14.25" thickBot="1">
      <c r="A242" s="13"/>
      <c r="B242" s="13"/>
      <c r="C242" s="25"/>
      <c r="D242" s="25"/>
      <c r="E242" s="825"/>
      <c r="F242" s="271"/>
      <c r="G242" s="256"/>
      <c r="H242" s="256"/>
      <c r="I242" s="256"/>
      <c r="J242" s="256"/>
      <c r="K242" s="256"/>
      <c r="L242" s="255"/>
      <c r="M242" s="255"/>
    </row>
    <row r="243" spans="1:13" s="222" customFormat="1" ht="14.25" thickBot="1">
      <c r="A243" s="227" t="s">
        <v>2</v>
      </c>
      <c r="B243" s="226"/>
      <c r="C243" s="38">
        <f>C244+C246+C248+C251+C256</f>
        <v>141720</v>
      </c>
      <c r="D243" s="33"/>
      <c r="E243" s="187"/>
      <c r="F243" s="108"/>
      <c r="G243" s="250"/>
      <c r="H243" s="250"/>
      <c r="I243" s="250"/>
      <c r="J243" s="250"/>
      <c r="K243" s="250"/>
      <c r="L243" s="109"/>
      <c r="M243" s="109"/>
    </row>
    <row r="244" spans="1:11" s="223" customFormat="1" ht="13.5" customHeight="1">
      <c r="A244" s="353" t="s">
        <v>223</v>
      </c>
      <c r="B244" s="404" t="s">
        <v>256</v>
      </c>
      <c r="C244" s="34">
        <f>SUM(C245)</f>
        <v>8970</v>
      </c>
      <c r="D244" s="137"/>
      <c r="E244" s="186"/>
      <c r="F244" s="225"/>
      <c r="G244" s="224"/>
      <c r="H244" s="224"/>
      <c r="I244" s="224"/>
      <c r="J244" s="224"/>
      <c r="K244" s="224"/>
    </row>
    <row r="245" spans="1:13" s="222" customFormat="1" ht="13.5" customHeight="1" hidden="1">
      <c r="A245" s="107" t="s">
        <v>255</v>
      </c>
      <c r="B245" s="57" t="s">
        <v>254</v>
      </c>
      <c r="C245" s="821">
        <f>6900*1.3</f>
        <v>8970</v>
      </c>
      <c r="D245" s="25"/>
      <c r="E245" s="25"/>
      <c r="F245" s="108"/>
      <c r="G245" s="250"/>
      <c r="H245" s="250"/>
      <c r="I245" s="250"/>
      <c r="J245" s="250"/>
      <c r="K245" s="250"/>
      <c r="L245" s="109"/>
      <c r="M245" s="109"/>
    </row>
    <row r="246" spans="1:13" s="222" customFormat="1" ht="13.5" customHeight="1">
      <c r="A246" s="12" t="s">
        <v>117</v>
      </c>
      <c r="B246" s="791" t="s">
        <v>118</v>
      </c>
      <c r="C246" s="33">
        <f>SUM(C247)</f>
        <v>8500</v>
      </c>
      <c r="D246" s="25"/>
      <c r="E246" s="25"/>
      <c r="F246" s="108"/>
      <c r="G246" s="250"/>
      <c r="H246" s="250"/>
      <c r="I246" s="250"/>
      <c r="J246" s="250"/>
      <c r="K246" s="250"/>
      <c r="L246" s="109"/>
      <c r="M246" s="109"/>
    </row>
    <row r="247" spans="1:13" s="222" customFormat="1" ht="13.5" customHeight="1" hidden="1">
      <c r="A247" s="107" t="s">
        <v>51</v>
      </c>
      <c r="B247" s="24" t="s">
        <v>253</v>
      </c>
      <c r="C247" s="821">
        <v>8500</v>
      </c>
      <c r="D247" s="25"/>
      <c r="E247" s="25"/>
      <c r="F247" s="108"/>
      <c r="G247" s="250"/>
      <c r="H247" s="250"/>
      <c r="I247" s="250"/>
      <c r="J247" s="250"/>
      <c r="K247" s="250"/>
      <c r="L247" s="109"/>
      <c r="M247" s="109"/>
    </row>
    <row r="248" spans="1:13" s="222" customFormat="1" ht="13.5" customHeight="1">
      <c r="A248" s="12" t="s">
        <v>219</v>
      </c>
      <c r="B248" s="26" t="s">
        <v>218</v>
      </c>
      <c r="C248" s="33">
        <f>SUM(C249:C250)</f>
        <v>78360</v>
      </c>
      <c r="D248" s="25"/>
      <c r="E248" s="25"/>
      <c r="F248" s="108"/>
      <c r="G248" s="250"/>
      <c r="H248" s="250"/>
      <c r="I248" s="250"/>
      <c r="J248" s="250"/>
      <c r="K248" s="250"/>
      <c r="L248" s="109"/>
      <c r="M248" s="109"/>
    </row>
    <row r="249" spans="1:13" s="222" customFormat="1" ht="13.5" customHeight="1" hidden="1">
      <c r="A249" s="107" t="s">
        <v>217</v>
      </c>
      <c r="B249" s="107" t="s">
        <v>252</v>
      </c>
      <c r="C249" s="821">
        <f>71100*1.2-15000</f>
        <v>70320</v>
      </c>
      <c r="D249" s="25"/>
      <c r="E249" s="25"/>
      <c r="F249" s="108"/>
      <c r="G249" s="250"/>
      <c r="H249" s="250"/>
      <c r="I249" s="250"/>
      <c r="J249" s="250"/>
      <c r="K249" s="250"/>
      <c r="L249" s="109"/>
      <c r="M249" s="109"/>
    </row>
    <row r="250" spans="1:13" s="222" customFormat="1" ht="13.5" customHeight="1" hidden="1">
      <c r="A250" s="107" t="s">
        <v>251</v>
      </c>
      <c r="B250" s="57" t="s">
        <v>250</v>
      </c>
      <c r="C250" s="821">
        <f>6700*1.2</f>
        <v>8040</v>
      </c>
      <c r="D250" s="25"/>
      <c r="E250" s="25"/>
      <c r="F250" s="108"/>
      <c r="G250" s="250"/>
      <c r="H250" s="250"/>
      <c r="I250" s="250"/>
      <c r="J250" s="250"/>
      <c r="K250" s="250"/>
      <c r="L250" s="109"/>
      <c r="M250" s="109"/>
    </row>
    <row r="251" spans="1:13" s="222" customFormat="1" ht="13.5" customHeight="1">
      <c r="A251" s="353" t="s">
        <v>129</v>
      </c>
      <c r="B251" s="26" t="s">
        <v>119</v>
      </c>
      <c r="C251" s="33">
        <f>SUM(C252:C255)</f>
        <v>34450</v>
      </c>
      <c r="D251" s="25"/>
      <c r="E251" s="25"/>
      <c r="F251" s="108"/>
      <c r="G251" s="250"/>
      <c r="H251" s="250"/>
      <c r="I251" s="250"/>
      <c r="J251" s="250"/>
      <c r="K251" s="250"/>
      <c r="L251" s="109"/>
      <c r="M251" s="109"/>
    </row>
    <row r="252" spans="1:13" s="222" customFormat="1" ht="13.5" customHeight="1" hidden="1">
      <c r="A252" s="107" t="s">
        <v>214</v>
      </c>
      <c r="B252" s="57" t="s">
        <v>213</v>
      </c>
      <c r="C252" s="821">
        <v>10000</v>
      </c>
      <c r="D252" s="25"/>
      <c r="E252" s="25"/>
      <c r="F252" s="108"/>
      <c r="G252" s="250"/>
      <c r="H252" s="250"/>
      <c r="I252" s="250"/>
      <c r="J252" s="250"/>
      <c r="K252" s="250"/>
      <c r="L252" s="109"/>
      <c r="M252" s="109"/>
    </row>
    <row r="253" spans="1:13" s="222" customFormat="1" ht="13.5" customHeight="1" hidden="1">
      <c r="A253" s="107" t="s">
        <v>212</v>
      </c>
      <c r="B253" s="57" t="s">
        <v>211</v>
      </c>
      <c r="C253" s="821">
        <f>10280*1.2+114</f>
        <v>12450</v>
      </c>
      <c r="D253" s="25"/>
      <c r="E253" s="25"/>
      <c r="F253" s="108"/>
      <c r="G253" s="250"/>
      <c r="H253" s="250"/>
      <c r="I253" s="250"/>
      <c r="J253" s="250"/>
      <c r="K253" s="250"/>
      <c r="L253" s="109"/>
      <c r="M253" s="109"/>
    </row>
    <row r="254" spans="1:13" s="222" customFormat="1" ht="13.5" customHeight="1" hidden="1">
      <c r="A254" s="107" t="s">
        <v>249</v>
      </c>
      <c r="B254" s="57" t="s">
        <v>248</v>
      </c>
      <c r="C254" s="821">
        <f>6000*1.1</f>
        <v>6600.000000000001</v>
      </c>
      <c r="D254" s="25"/>
      <c r="E254" s="25"/>
      <c r="F254" s="108"/>
      <c r="G254" s="250"/>
      <c r="H254" s="250"/>
      <c r="I254" s="250"/>
      <c r="J254" s="250"/>
      <c r="K254" s="250"/>
      <c r="L254" s="109"/>
      <c r="M254" s="109"/>
    </row>
    <row r="255" spans="1:13" s="222" customFormat="1" ht="13.5" customHeight="1" hidden="1">
      <c r="A255" s="107" t="s">
        <v>210</v>
      </c>
      <c r="B255" s="57" t="s">
        <v>209</v>
      </c>
      <c r="C255" s="821">
        <f>4500*1.2</f>
        <v>5400</v>
      </c>
      <c r="D255" s="25"/>
      <c r="E255" s="25"/>
      <c r="F255" s="108"/>
      <c r="G255" s="250"/>
      <c r="H255" s="250"/>
      <c r="I255" s="250"/>
      <c r="J255" s="250"/>
      <c r="K255" s="250"/>
      <c r="L255" s="109"/>
      <c r="M255" s="109"/>
    </row>
    <row r="256" spans="1:13" s="222" customFormat="1" ht="13.5" customHeight="1">
      <c r="A256" s="353" t="s">
        <v>169</v>
      </c>
      <c r="B256" s="26" t="s">
        <v>144</v>
      </c>
      <c r="C256" s="33">
        <f>SUM(C257:C258)</f>
        <v>11440</v>
      </c>
      <c r="D256" s="25"/>
      <c r="E256" s="25"/>
      <c r="F256" s="108"/>
      <c r="G256" s="250"/>
      <c r="H256" s="250"/>
      <c r="I256" s="250"/>
      <c r="J256" s="250"/>
      <c r="K256" s="250"/>
      <c r="L256" s="109"/>
      <c r="M256" s="109"/>
    </row>
    <row r="257" spans="1:13" s="222" customFormat="1" ht="13.5" customHeight="1" hidden="1">
      <c r="A257" s="107" t="s">
        <v>247</v>
      </c>
      <c r="B257" s="24" t="s">
        <v>246</v>
      </c>
      <c r="C257" s="821">
        <f>6300*1.3</f>
        <v>8190</v>
      </c>
      <c r="D257" s="25"/>
      <c r="E257" s="25"/>
      <c r="F257" s="108"/>
      <c r="G257" s="250"/>
      <c r="H257" s="250"/>
      <c r="I257" s="250"/>
      <c r="J257" s="250"/>
      <c r="K257" s="250"/>
      <c r="L257" s="109"/>
      <c r="M257" s="109"/>
    </row>
    <row r="258" spans="1:13" s="222" customFormat="1" ht="13.5" customHeight="1" hidden="1">
      <c r="A258" s="107" t="s">
        <v>172</v>
      </c>
      <c r="B258" s="57" t="s">
        <v>135</v>
      </c>
      <c r="C258" s="821">
        <f>2500*1.3</f>
        <v>3250</v>
      </c>
      <c r="D258" s="25"/>
      <c r="E258" s="25"/>
      <c r="F258" s="108"/>
      <c r="G258" s="250"/>
      <c r="H258" s="250"/>
      <c r="I258" s="250"/>
      <c r="J258" s="250"/>
      <c r="K258" s="250"/>
      <c r="L258" s="109"/>
      <c r="M258" s="109"/>
    </row>
    <row r="259" spans="1:13" s="222" customFormat="1" ht="14.25" thickBot="1">
      <c r="A259" s="107"/>
      <c r="B259" s="57"/>
      <c r="C259" s="25"/>
      <c r="D259" s="25"/>
      <c r="E259" s="25"/>
      <c r="F259" s="108"/>
      <c r="G259" s="250"/>
      <c r="H259" s="250"/>
      <c r="I259" s="250"/>
      <c r="J259" s="250"/>
      <c r="K259" s="250"/>
      <c r="L259" s="109"/>
      <c r="M259" s="109"/>
    </row>
    <row r="260" spans="1:13" s="222" customFormat="1" ht="14.25" thickBot="1">
      <c r="A260" s="949" t="s">
        <v>3</v>
      </c>
      <c r="B260" s="950"/>
      <c r="C260" s="36">
        <f>C261+C265</f>
        <v>112020</v>
      </c>
      <c r="D260" s="33"/>
      <c r="E260" s="25"/>
      <c r="F260" s="108"/>
      <c r="G260" s="250"/>
      <c r="H260" s="250"/>
      <c r="I260" s="250"/>
      <c r="J260" s="250"/>
      <c r="K260" s="250"/>
      <c r="L260" s="109"/>
      <c r="M260" s="109"/>
    </row>
    <row r="261" spans="1:11" s="223" customFormat="1" ht="13.5" customHeight="1">
      <c r="A261" s="95" t="s">
        <v>130</v>
      </c>
      <c r="B261" s="95" t="s">
        <v>131</v>
      </c>
      <c r="C261" s="34">
        <f>SUM(C262:C264)</f>
        <v>23340</v>
      </c>
      <c r="D261" s="137"/>
      <c r="E261" s="137"/>
      <c r="F261" s="225"/>
      <c r="G261" s="224"/>
      <c r="H261" s="224"/>
      <c r="I261" s="224"/>
      <c r="J261" s="224"/>
      <c r="K261" s="224"/>
    </row>
    <row r="262" spans="1:13" s="222" customFormat="1" ht="13.5" customHeight="1" hidden="1">
      <c r="A262" s="107" t="s">
        <v>207</v>
      </c>
      <c r="B262" s="57" t="s">
        <v>206</v>
      </c>
      <c r="C262" s="821">
        <f>8400*1.2</f>
        <v>10080</v>
      </c>
      <c r="D262" s="25"/>
      <c r="E262" s="25"/>
      <c r="F262" s="108"/>
      <c r="G262" s="250"/>
      <c r="H262" s="250"/>
      <c r="I262" s="250"/>
      <c r="J262" s="250"/>
      <c r="K262" s="250"/>
      <c r="L262" s="109"/>
      <c r="M262" s="109"/>
    </row>
    <row r="263" spans="1:13" s="222" customFormat="1" ht="13.5" customHeight="1" hidden="1">
      <c r="A263" s="107" t="s">
        <v>245</v>
      </c>
      <c r="B263" s="57" t="s">
        <v>244</v>
      </c>
      <c r="C263" s="821">
        <v>7800</v>
      </c>
      <c r="D263" s="25"/>
      <c r="E263" s="25"/>
      <c r="F263" s="108"/>
      <c r="G263" s="250"/>
      <c r="H263" s="250"/>
      <c r="I263" s="250"/>
      <c r="J263" s="250"/>
      <c r="K263" s="250"/>
      <c r="L263" s="109"/>
      <c r="M263" s="109"/>
    </row>
    <row r="264" spans="1:13" s="222" customFormat="1" ht="13.5" customHeight="1" hidden="1">
      <c r="A264" s="107" t="s">
        <v>148</v>
      </c>
      <c r="B264" s="57" t="s">
        <v>243</v>
      </c>
      <c r="C264" s="821">
        <f>4550*1.2</f>
        <v>5460</v>
      </c>
      <c r="D264" s="25"/>
      <c r="E264" s="25"/>
      <c r="F264" s="108"/>
      <c r="G264" s="250"/>
      <c r="H264" s="250"/>
      <c r="I264" s="250"/>
      <c r="J264" s="250"/>
      <c r="K264" s="250"/>
      <c r="L264" s="109"/>
      <c r="M264" s="109"/>
    </row>
    <row r="265" spans="1:13" s="222" customFormat="1" ht="13.5" customHeight="1">
      <c r="A265" s="12" t="s">
        <v>125</v>
      </c>
      <c r="B265" s="33" t="s">
        <v>7</v>
      </c>
      <c r="C265" s="33">
        <f>SUM(C266:C269)</f>
        <v>88680</v>
      </c>
      <c r="D265" s="25"/>
      <c r="E265" s="25"/>
      <c r="F265" s="108"/>
      <c r="G265" s="250"/>
      <c r="H265" s="250"/>
      <c r="I265" s="250"/>
      <c r="J265" s="250"/>
      <c r="K265" s="250"/>
      <c r="L265" s="109"/>
      <c r="M265" s="109"/>
    </row>
    <row r="266" spans="1:13" s="222" customFormat="1" ht="13.5" customHeight="1" hidden="1">
      <c r="A266" s="107" t="s">
        <v>99</v>
      </c>
      <c r="B266" s="57" t="s">
        <v>8</v>
      </c>
      <c r="C266" s="821">
        <f>40000*1.2</f>
        <v>48000</v>
      </c>
      <c r="E266" s="25"/>
      <c r="F266" s="25"/>
      <c r="G266" s="250"/>
      <c r="H266" s="250"/>
      <c r="I266" s="250"/>
      <c r="J266" s="250"/>
      <c r="K266" s="250"/>
      <c r="L266" s="109"/>
      <c r="M266" s="109"/>
    </row>
    <row r="267" spans="1:13" s="222" customFormat="1" ht="13.5" customHeight="1" hidden="1">
      <c r="A267" s="107" t="s">
        <v>205</v>
      </c>
      <c r="B267" s="57" t="s">
        <v>204</v>
      </c>
      <c r="C267" s="821">
        <v>16500</v>
      </c>
      <c r="D267" s="25"/>
      <c r="E267" s="25"/>
      <c r="F267" s="108"/>
      <c r="G267" s="250"/>
      <c r="H267" s="250"/>
      <c r="I267" s="250"/>
      <c r="J267" s="250"/>
      <c r="K267" s="250"/>
      <c r="L267" s="109"/>
      <c r="M267" s="109"/>
    </row>
    <row r="268" spans="1:13" s="222" customFormat="1" ht="13.5" customHeight="1" hidden="1">
      <c r="A268" s="107" t="s">
        <v>242</v>
      </c>
      <c r="B268" s="57" t="s">
        <v>241</v>
      </c>
      <c r="C268" s="821">
        <f>12000*1.3</f>
        <v>15600</v>
      </c>
      <c r="D268" s="25"/>
      <c r="E268" s="25"/>
      <c r="F268" s="108"/>
      <c r="G268" s="250"/>
      <c r="H268" s="250"/>
      <c r="I268" s="250"/>
      <c r="J268" s="250"/>
      <c r="K268" s="250"/>
      <c r="L268" s="109"/>
      <c r="M268" s="109"/>
    </row>
    <row r="269" spans="1:13" s="222" customFormat="1" ht="13.5" customHeight="1" hidden="1">
      <c r="A269" s="107" t="s">
        <v>100</v>
      </c>
      <c r="B269" s="13" t="s">
        <v>7</v>
      </c>
      <c r="C269" s="821">
        <f>6600*1.3</f>
        <v>8580</v>
      </c>
      <c r="D269" s="25"/>
      <c r="E269" s="25"/>
      <c r="F269" s="108"/>
      <c r="G269" s="250"/>
      <c r="H269" s="250"/>
      <c r="I269" s="250"/>
      <c r="J269" s="250"/>
      <c r="K269" s="250"/>
      <c r="L269" s="109"/>
      <c r="M269" s="109"/>
    </row>
    <row r="270" spans="1:13" s="222" customFormat="1" ht="14.25" thickBot="1">
      <c r="A270" s="13"/>
      <c r="B270" s="57"/>
      <c r="C270" s="25"/>
      <c r="D270" s="25"/>
      <c r="E270" s="25"/>
      <c r="F270" s="108"/>
      <c r="G270" s="250"/>
      <c r="H270" s="250"/>
      <c r="I270" s="250"/>
      <c r="J270" s="250"/>
      <c r="K270" s="250"/>
      <c r="L270" s="109"/>
      <c r="M270" s="109"/>
    </row>
    <row r="271" spans="1:13" s="222" customFormat="1" ht="14.25" thickBot="1">
      <c r="A271" s="951" t="s">
        <v>4</v>
      </c>
      <c r="B271" s="952"/>
      <c r="C271" s="32">
        <f>C272+C276+C278</f>
        <v>71450</v>
      </c>
      <c r="D271" s="33"/>
      <c r="E271" s="24"/>
      <c r="F271" s="108"/>
      <c r="G271" s="250"/>
      <c r="H271" s="250"/>
      <c r="I271" s="250"/>
      <c r="J271" s="250"/>
      <c r="K271" s="250"/>
      <c r="L271" s="109"/>
      <c r="M271" s="109"/>
    </row>
    <row r="272" spans="1:11" s="223" customFormat="1" ht="13.5" customHeight="1">
      <c r="A272" s="353" t="s">
        <v>201</v>
      </c>
      <c r="B272" s="404" t="s">
        <v>200</v>
      </c>
      <c r="C272" s="34">
        <f>SUM(C273:C275)</f>
        <v>56550</v>
      </c>
      <c r="D272" s="137"/>
      <c r="E272" s="137"/>
      <c r="F272" s="225"/>
      <c r="G272" s="224"/>
      <c r="H272" s="224"/>
      <c r="I272" s="224"/>
      <c r="J272" s="224"/>
      <c r="K272" s="224"/>
    </row>
    <row r="273" spans="1:13" s="222" customFormat="1" ht="13.5" customHeight="1" hidden="1">
      <c r="A273" s="107" t="s">
        <v>199</v>
      </c>
      <c r="B273" s="57" t="s">
        <v>198</v>
      </c>
      <c r="C273" s="821">
        <f>20500*1.1</f>
        <v>22550.000000000004</v>
      </c>
      <c r="D273" s="25"/>
      <c r="E273" s="24"/>
      <c r="F273" s="108"/>
      <c r="G273" s="250"/>
      <c r="H273" s="250"/>
      <c r="I273" s="250"/>
      <c r="J273" s="250"/>
      <c r="K273" s="250"/>
      <c r="L273" s="109"/>
      <c r="M273" s="109"/>
    </row>
    <row r="274" spans="1:6" s="181" customFormat="1" ht="13.5" customHeight="1" hidden="1">
      <c r="A274" s="107" t="s">
        <v>197</v>
      </c>
      <c r="B274" s="57" t="s">
        <v>196</v>
      </c>
      <c r="C274" s="821">
        <v>20500</v>
      </c>
      <c r="D274" s="25"/>
      <c r="E274" s="25"/>
      <c r="F274" s="106"/>
    </row>
    <row r="275" spans="1:13" s="222" customFormat="1" ht="13.5" customHeight="1" hidden="1">
      <c r="A275" s="107" t="s">
        <v>195</v>
      </c>
      <c r="B275" s="57" t="s">
        <v>194</v>
      </c>
      <c r="C275" s="821">
        <v>13500</v>
      </c>
      <c r="D275" s="25"/>
      <c r="E275" s="24"/>
      <c r="F275" s="108"/>
      <c r="G275" s="250"/>
      <c r="H275" s="250"/>
      <c r="I275" s="250"/>
      <c r="J275" s="250"/>
      <c r="K275" s="250"/>
      <c r="L275" s="109"/>
      <c r="M275" s="109"/>
    </row>
    <row r="276" spans="1:13" s="222" customFormat="1" ht="13.5" customHeight="1">
      <c r="A276" s="353" t="s">
        <v>126</v>
      </c>
      <c r="B276" s="404" t="s">
        <v>127</v>
      </c>
      <c r="C276" s="26">
        <f>SUM(C277:C277)</f>
        <v>11400</v>
      </c>
      <c r="D276" s="25"/>
      <c r="E276" s="24"/>
      <c r="F276" s="108"/>
      <c r="G276" s="250"/>
      <c r="H276" s="250"/>
      <c r="I276" s="250"/>
      <c r="J276" s="250"/>
      <c r="K276" s="250"/>
      <c r="L276" s="109"/>
      <c r="M276" s="109"/>
    </row>
    <row r="277" spans="1:13" s="222" customFormat="1" ht="13.5" customHeight="1" hidden="1">
      <c r="A277" s="107" t="s">
        <v>101</v>
      </c>
      <c r="B277" s="24" t="s">
        <v>9</v>
      </c>
      <c r="C277" s="821">
        <f>9500*1.2</f>
        <v>11400</v>
      </c>
      <c r="D277" s="25"/>
      <c r="E277" s="25"/>
      <c r="F277" s="108"/>
      <c r="G277" s="250"/>
      <c r="H277" s="250"/>
      <c r="I277" s="250"/>
      <c r="J277" s="250"/>
      <c r="K277" s="250"/>
      <c r="L277" s="109"/>
      <c r="M277" s="109"/>
    </row>
    <row r="278" spans="1:13" s="222" customFormat="1" ht="13.5" customHeight="1">
      <c r="A278" s="353" t="s">
        <v>188</v>
      </c>
      <c r="B278" s="26" t="s">
        <v>146</v>
      </c>
      <c r="C278" s="26">
        <f>+C279</f>
        <v>3500</v>
      </c>
      <c r="D278" s="25"/>
      <c r="E278" s="24"/>
      <c r="F278" s="108"/>
      <c r="G278" s="250"/>
      <c r="H278" s="250"/>
      <c r="I278" s="250"/>
      <c r="J278" s="250"/>
      <c r="K278" s="250"/>
      <c r="L278" s="109"/>
      <c r="M278" s="109"/>
    </row>
    <row r="279" spans="1:13" s="222" customFormat="1" ht="13.5" customHeight="1" hidden="1">
      <c r="A279" s="107" t="s">
        <v>189</v>
      </c>
      <c r="B279" s="57" t="s">
        <v>56</v>
      </c>
      <c r="C279" s="821">
        <f>3500</f>
        <v>3500</v>
      </c>
      <c r="D279" s="25"/>
      <c r="E279" s="24"/>
      <c r="F279" s="108"/>
      <c r="G279" s="250"/>
      <c r="H279" s="250"/>
      <c r="I279" s="250"/>
      <c r="J279" s="250"/>
      <c r="K279" s="250"/>
      <c r="L279" s="109"/>
      <c r="M279" s="109"/>
    </row>
    <row r="280" spans="1:13" s="222" customFormat="1" ht="13.5" customHeight="1">
      <c r="A280" s="107"/>
      <c r="B280" s="107"/>
      <c r="C280" s="24"/>
      <c r="D280" s="25"/>
      <c r="E280" s="24"/>
      <c r="F280" s="108"/>
      <c r="G280" s="250"/>
      <c r="H280" s="250"/>
      <c r="I280" s="250"/>
      <c r="J280" s="250"/>
      <c r="K280" s="250"/>
      <c r="L280" s="109"/>
      <c r="M280" s="109"/>
    </row>
    <row r="281" spans="1:13" s="182" customFormat="1" ht="14.25" thickBot="1">
      <c r="A281" s="107"/>
      <c r="B281" s="13"/>
      <c r="C281" s="24"/>
      <c r="D281" s="24"/>
      <c r="E281" s="24"/>
      <c r="F281" s="106"/>
      <c r="G281" s="177"/>
      <c r="H281" s="177"/>
      <c r="I281" s="177"/>
      <c r="J281" s="177"/>
      <c r="K281" s="177"/>
      <c r="L281" s="176"/>
      <c r="M281" s="176"/>
    </row>
    <row r="282" spans="1:13" s="188" customFormat="1" ht="13.5" customHeight="1">
      <c r="A282" s="64" t="s">
        <v>238</v>
      </c>
      <c r="B282" s="221"/>
      <c r="C282" s="220"/>
      <c r="D282" s="219" t="s">
        <v>6</v>
      </c>
      <c r="E282" s="218">
        <v>1106</v>
      </c>
      <c r="F282" s="202"/>
      <c r="G282" s="201"/>
      <c r="H282" s="201"/>
      <c r="I282" s="201"/>
      <c r="J282" s="201"/>
      <c r="K282" s="201"/>
      <c r="L282" s="200"/>
      <c r="M282" s="200"/>
    </row>
    <row r="283" spans="1:13" s="188" customFormat="1" ht="14.25" thickBot="1">
      <c r="A283" s="49"/>
      <c r="B283" s="205"/>
      <c r="C283" s="204"/>
      <c r="D283" s="217"/>
      <c r="E283" s="216"/>
      <c r="F283" s="202"/>
      <c r="G283" s="201"/>
      <c r="H283" s="201"/>
      <c r="I283" s="201"/>
      <c r="J283" s="201"/>
      <c r="K283" s="201"/>
      <c r="L283" s="200"/>
      <c r="M283" s="200"/>
    </row>
    <row r="284" spans="1:13" s="188" customFormat="1" ht="13.5" customHeight="1">
      <c r="A284" s="215" t="s">
        <v>237</v>
      </c>
      <c r="B284" s="214"/>
      <c r="C284" s="207"/>
      <c r="D284" s="213"/>
      <c r="E284" s="212"/>
      <c r="F284" s="202"/>
      <c r="G284" s="201"/>
      <c r="H284" s="201"/>
      <c r="I284" s="201"/>
      <c r="J284" s="201"/>
      <c r="K284" s="201"/>
      <c r="L284" s="200"/>
      <c r="M284" s="200"/>
    </row>
    <row r="285" spans="1:13" s="188" customFormat="1" ht="13.5" customHeight="1">
      <c r="A285" s="215" t="s">
        <v>236</v>
      </c>
      <c r="B285" s="214"/>
      <c r="C285" s="207"/>
      <c r="D285" s="213"/>
      <c r="E285" s="212"/>
      <c r="F285" s="202"/>
      <c r="G285" s="201"/>
      <c r="H285" s="201"/>
      <c r="I285" s="201"/>
      <c r="J285" s="201"/>
      <c r="K285" s="201"/>
      <c r="L285" s="200"/>
      <c r="M285" s="200"/>
    </row>
    <row r="286" spans="1:13" s="188" customFormat="1" ht="13.5" customHeight="1">
      <c r="A286" s="215" t="s">
        <v>235</v>
      </c>
      <c r="B286" s="214"/>
      <c r="C286" s="207"/>
      <c r="D286" s="213"/>
      <c r="E286" s="212"/>
      <c r="F286" s="202"/>
      <c r="G286" s="201"/>
      <c r="H286" s="201"/>
      <c r="I286" s="201"/>
      <c r="J286" s="201"/>
      <c r="K286" s="201"/>
      <c r="L286" s="200"/>
      <c r="M286" s="200"/>
    </row>
    <row r="287" spans="1:13" s="188" customFormat="1" ht="13.5" customHeight="1">
      <c r="A287" s="215" t="s">
        <v>234</v>
      </c>
      <c r="B287" s="214"/>
      <c r="C287" s="207"/>
      <c r="D287" s="213"/>
      <c r="E287" s="212"/>
      <c r="F287" s="202"/>
      <c r="G287" s="201"/>
      <c r="H287" s="201"/>
      <c r="I287" s="201"/>
      <c r="J287" s="201"/>
      <c r="K287" s="201"/>
      <c r="L287" s="200"/>
      <c r="M287" s="200"/>
    </row>
    <row r="288" spans="1:13" s="188" customFormat="1" ht="13.5" customHeight="1">
      <c r="A288" s="215" t="s">
        <v>233</v>
      </c>
      <c r="B288" s="214"/>
      <c r="C288" s="207"/>
      <c r="D288" s="213"/>
      <c r="E288" s="212"/>
      <c r="F288" s="202"/>
      <c r="G288" s="201"/>
      <c r="H288" s="201"/>
      <c r="I288" s="201"/>
      <c r="J288" s="201"/>
      <c r="K288" s="201"/>
      <c r="L288" s="200"/>
      <c r="M288" s="200"/>
    </row>
    <row r="289" spans="1:13" s="188" customFormat="1" ht="13.5" customHeight="1">
      <c r="A289" s="215" t="s">
        <v>232</v>
      </c>
      <c r="B289" s="214"/>
      <c r="C289" s="207"/>
      <c r="D289" s="213"/>
      <c r="E289" s="212"/>
      <c r="F289" s="202"/>
      <c r="G289" s="201"/>
      <c r="H289" s="201"/>
      <c r="I289" s="201"/>
      <c r="J289" s="201"/>
      <c r="K289" s="201"/>
      <c r="L289" s="200"/>
      <c r="M289" s="200"/>
    </row>
    <row r="290" spans="1:13" s="188" customFormat="1" ht="13.5" customHeight="1">
      <c r="A290" s="215" t="s">
        <v>231</v>
      </c>
      <c r="B290" s="214"/>
      <c r="C290" s="207"/>
      <c r="D290" s="213"/>
      <c r="E290" s="212"/>
      <c r="F290" s="202"/>
      <c r="G290" s="201"/>
      <c r="H290" s="201"/>
      <c r="I290" s="201"/>
      <c r="J290" s="201"/>
      <c r="K290" s="201"/>
      <c r="L290" s="200"/>
      <c r="M290" s="200"/>
    </row>
    <row r="291" spans="1:13" s="188" customFormat="1" ht="13.5" customHeight="1">
      <c r="A291" s="215" t="s">
        <v>230</v>
      </c>
      <c r="B291" s="214"/>
      <c r="C291" s="207"/>
      <c r="D291" s="213"/>
      <c r="E291" s="212"/>
      <c r="F291" s="202"/>
      <c r="G291" s="201"/>
      <c r="H291" s="201"/>
      <c r="I291" s="201"/>
      <c r="J291" s="201"/>
      <c r="K291" s="201"/>
      <c r="L291" s="200"/>
      <c r="M291" s="200"/>
    </row>
    <row r="292" spans="1:13" s="209" customFormat="1" ht="13.5" customHeight="1">
      <c r="A292" s="45" t="s">
        <v>229</v>
      </c>
      <c r="B292" s="208"/>
      <c r="C292" s="207"/>
      <c r="D292" s="211"/>
      <c r="E292" s="210"/>
      <c r="F292" s="202"/>
      <c r="G292" s="925"/>
      <c r="H292" s="925"/>
      <c r="I292" s="925"/>
      <c r="J292" s="925"/>
      <c r="K292" s="925"/>
      <c r="L292" s="925"/>
      <c r="M292" s="925"/>
    </row>
    <row r="293" spans="1:11" s="200" customFormat="1" ht="13.5" customHeight="1">
      <c r="A293" s="45" t="s">
        <v>228</v>
      </c>
      <c r="B293" s="208"/>
      <c r="C293" s="207"/>
      <c r="D293" s="207"/>
      <c r="E293" s="206"/>
      <c r="F293" s="202"/>
      <c r="G293" s="201"/>
      <c r="H293" s="201"/>
      <c r="I293" s="201"/>
      <c r="J293" s="201"/>
      <c r="K293" s="201"/>
    </row>
    <row r="294" spans="1:11" s="200" customFormat="1" ht="13.5" customHeight="1">
      <c r="A294" s="45" t="s">
        <v>227</v>
      </c>
      <c r="B294" s="208"/>
      <c r="C294" s="207"/>
      <c r="D294" s="207"/>
      <c r="E294" s="206"/>
      <c r="F294" s="202"/>
      <c r="G294" s="201"/>
      <c r="H294" s="201"/>
      <c r="I294" s="201"/>
      <c r="J294" s="201"/>
      <c r="K294" s="201"/>
    </row>
    <row r="295" spans="1:11" s="200" customFormat="1" ht="14.25" thickBot="1">
      <c r="A295" s="49" t="s">
        <v>226</v>
      </c>
      <c r="B295" s="205"/>
      <c r="C295" s="204"/>
      <c r="D295" s="204"/>
      <c r="E295" s="203"/>
      <c r="F295" s="202"/>
      <c r="G295" s="201"/>
      <c r="H295" s="201"/>
      <c r="I295" s="201"/>
      <c r="J295" s="201"/>
      <c r="K295" s="201"/>
    </row>
    <row r="296" spans="1:13" s="188" customFormat="1" ht="13.5">
      <c r="A296" s="52" t="s">
        <v>1365</v>
      </c>
      <c r="B296" s="13"/>
      <c r="C296" s="199"/>
      <c r="D296" s="198"/>
      <c r="E296" s="197"/>
      <c r="F296" s="202"/>
      <c r="G296" s="201"/>
      <c r="H296" s="201"/>
      <c r="I296" s="201"/>
      <c r="J296" s="201"/>
      <c r="K296" s="201"/>
      <c r="L296" s="200"/>
      <c r="M296" s="200"/>
    </row>
    <row r="297" spans="1:13" s="188" customFormat="1" ht="13.5">
      <c r="A297" s="85" t="s">
        <v>225</v>
      </c>
      <c r="B297" s="13"/>
      <c r="C297" s="199"/>
      <c r="D297" s="198"/>
      <c r="E297" s="197"/>
      <c r="F297" s="202"/>
      <c r="G297" s="201"/>
      <c r="H297" s="201"/>
      <c r="I297" s="201"/>
      <c r="J297" s="201"/>
      <c r="K297" s="201"/>
      <c r="L297" s="200"/>
      <c r="M297" s="200"/>
    </row>
    <row r="298" spans="1:13" s="188" customFormat="1" ht="13.5">
      <c r="A298" s="85" t="s">
        <v>1421</v>
      </c>
      <c r="B298" s="13"/>
      <c r="C298" s="199"/>
      <c r="D298" s="198"/>
      <c r="E298" s="197"/>
      <c r="F298" s="202"/>
      <c r="G298" s="201"/>
      <c r="H298" s="201"/>
      <c r="I298" s="201"/>
      <c r="J298" s="201"/>
      <c r="K298" s="201"/>
      <c r="L298" s="200"/>
      <c r="M298" s="200"/>
    </row>
    <row r="299" spans="1:13" s="188" customFormat="1" ht="14.25" thickBot="1">
      <c r="A299" s="111" t="s">
        <v>11</v>
      </c>
      <c r="B299" s="196"/>
      <c r="C299" s="195"/>
      <c r="D299" s="194"/>
      <c r="E299" s="193"/>
      <c r="F299" s="202"/>
      <c r="G299" s="201"/>
      <c r="H299" s="201"/>
      <c r="I299" s="201"/>
      <c r="J299" s="201"/>
      <c r="K299" s="201"/>
      <c r="L299" s="200"/>
      <c r="M299" s="200"/>
    </row>
    <row r="300" spans="1:13" s="188" customFormat="1" ht="14.25" thickBot="1">
      <c r="A300" s="54" t="s">
        <v>0</v>
      </c>
      <c r="B300" s="192"/>
      <c r="C300" s="55" t="s">
        <v>224</v>
      </c>
      <c r="D300" s="191" t="s">
        <v>224</v>
      </c>
      <c r="E300" s="161">
        <f>C302+C324+C341</f>
        <v>784552</v>
      </c>
      <c r="F300" s="202"/>
      <c r="G300" s="201"/>
      <c r="H300" s="201"/>
      <c r="I300" s="201"/>
      <c r="J300" s="201"/>
      <c r="K300" s="201"/>
      <c r="L300" s="200"/>
      <c r="M300" s="200"/>
    </row>
    <row r="301" spans="1:13" s="188" customFormat="1" ht="14.25" thickBot="1">
      <c r="A301" s="190"/>
      <c r="B301" s="190"/>
      <c r="C301" s="29"/>
      <c r="D301" s="29"/>
      <c r="E301" s="825"/>
      <c r="F301" s="202"/>
      <c r="G301" s="201"/>
      <c r="H301" s="201"/>
      <c r="I301" s="201"/>
      <c r="J301" s="201"/>
      <c r="K301" s="201"/>
      <c r="L301" s="200"/>
      <c r="M301" s="200"/>
    </row>
    <row r="302" spans="1:11" s="176" customFormat="1" ht="14.25" thickBot="1">
      <c r="A302" s="947" t="s">
        <v>2</v>
      </c>
      <c r="B302" s="948"/>
      <c r="C302" s="38">
        <f>C303+C305+C307+C310+C312+C314+C318+C320</f>
        <v>170540</v>
      </c>
      <c r="D302" s="25"/>
      <c r="E302" s="187"/>
      <c r="F302" s="106"/>
      <c r="G302" s="177"/>
      <c r="H302" s="177"/>
      <c r="I302" s="177"/>
      <c r="J302" s="177"/>
      <c r="K302" s="177"/>
    </row>
    <row r="303" spans="1:11" s="178" customFormat="1" ht="13.5">
      <c r="A303" s="12" t="s">
        <v>113</v>
      </c>
      <c r="B303" s="404" t="s">
        <v>114</v>
      </c>
      <c r="C303" s="34">
        <f>C304</f>
        <v>11520</v>
      </c>
      <c r="D303" s="137"/>
      <c r="E303" s="186"/>
      <c r="F303" s="180"/>
      <c r="G303" s="179"/>
      <c r="H303" s="179"/>
      <c r="I303" s="179"/>
      <c r="J303" s="179"/>
      <c r="K303" s="179"/>
    </row>
    <row r="304" spans="1:11" s="176" customFormat="1" ht="13.5" hidden="1">
      <c r="A304" s="13" t="s">
        <v>50</v>
      </c>
      <c r="B304" s="13" t="s">
        <v>180</v>
      </c>
      <c r="C304" s="821">
        <f>9600*1.2</f>
        <v>11520</v>
      </c>
      <c r="D304" s="25"/>
      <c r="E304" s="25"/>
      <c r="F304" s="106"/>
      <c r="G304" s="177"/>
      <c r="H304" s="177"/>
      <c r="I304" s="177"/>
      <c r="J304" s="177"/>
      <c r="K304" s="177"/>
    </row>
    <row r="305" spans="1:11" s="176" customFormat="1" ht="13.5">
      <c r="A305" s="12" t="s">
        <v>223</v>
      </c>
      <c r="B305" s="812" t="s">
        <v>222</v>
      </c>
      <c r="C305" s="33">
        <f>C306</f>
        <v>13200.000000000002</v>
      </c>
      <c r="D305" s="25"/>
      <c r="E305" s="25"/>
      <c r="F305" s="106"/>
      <c r="G305" s="177"/>
      <c r="H305" s="177"/>
      <c r="I305" s="177"/>
      <c r="J305" s="177"/>
      <c r="K305" s="177"/>
    </row>
    <row r="306" spans="1:11" s="176" customFormat="1" ht="13.5" hidden="1">
      <c r="A306" s="13" t="s">
        <v>221</v>
      </c>
      <c r="B306" s="57" t="s">
        <v>220</v>
      </c>
      <c r="C306" s="821">
        <f>12000*1.1</f>
        <v>13200.000000000002</v>
      </c>
      <c r="D306" s="25"/>
      <c r="E306" s="25"/>
      <c r="F306" s="106"/>
      <c r="G306" s="177"/>
      <c r="H306" s="177"/>
      <c r="I306" s="177"/>
      <c r="J306" s="177"/>
      <c r="K306" s="177"/>
    </row>
    <row r="307" spans="1:11" s="176" customFormat="1" ht="13.5">
      <c r="A307" s="12" t="s">
        <v>115</v>
      </c>
      <c r="B307" s="353" t="s">
        <v>116</v>
      </c>
      <c r="C307" s="33">
        <f>SUM(C308:C309)</f>
        <v>24500</v>
      </c>
      <c r="D307" s="25"/>
      <c r="E307" s="25"/>
      <c r="F307" s="106"/>
      <c r="G307" s="177"/>
      <c r="H307" s="177"/>
      <c r="I307" s="177"/>
      <c r="J307" s="177"/>
      <c r="K307" s="177"/>
    </row>
    <row r="308" spans="1:11" s="176" customFormat="1" ht="13.5" hidden="1">
      <c r="A308" s="13" t="s">
        <v>72</v>
      </c>
      <c r="B308" s="57" t="s">
        <v>73</v>
      </c>
      <c r="C308" s="821">
        <v>5000</v>
      </c>
      <c r="D308" s="25"/>
      <c r="E308" s="25"/>
      <c r="F308" s="106"/>
      <c r="G308" s="177"/>
      <c r="H308" s="177"/>
      <c r="I308" s="177"/>
      <c r="J308" s="177"/>
      <c r="K308" s="177"/>
    </row>
    <row r="309" spans="1:11" s="176" customFormat="1" ht="13.5" hidden="1">
      <c r="A309" s="13" t="s">
        <v>96</v>
      </c>
      <c r="B309" s="13" t="s">
        <v>71</v>
      </c>
      <c r="C309" s="821">
        <f>15000*1.3</f>
        <v>19500</v>
      </c>
      <c r="D309" s="25"/>
      <c r="E309" s="25"/>
      <c r="F309" s="106"/>
      <c r="G309" s="177"/>
      <c r="H309" s="177"/>
      <c r="I309" s="177"/>
      <c r="J309" s="177"/>
      <c r="K309" s="177"/>
    </row>
    <row r="310" spans="1:11" s="176" customFormat="1" ht="13.5">
      <c r="A310" s="12" t="s">
        <v>117</v>
      </c>
      <c r="B310" s="353" t="s">
        <v>118</v>
      </c>
      <c r="C310" s="33">
        <f>SUM(C311)</f>
        <v>21600</v>
      </c>
      <c r="D310" s="25"/>
      <c r="E310" s="25"/>
      <c r="F310" s="106"/>
      <c r="G310" s="177"/>
      <c r="H310" s="177"/>
      <c r="I310" s="177"/>
      <c r="J310" s="177"/>
      <c r="K310" s="177"/>
    </row>
    <row r="311" spans="1:11" s="176" customFormat="1" ht="13.5" hidden="1">
      <c r="A311" s="13" t="s">
        <v>51</v>
      </c>
      <c r="B311" s="13" t="s">
        <v>52</v>
      </c>
      <c r="C311" s="821">
        <f>18000*1.2</f>
        <v>21600</v>
      </c>
      <c r="D311" s="25"/>
      <c r="E311" s="25"/>
      <c r="F311" s="106"/>
      <c r="G311" s="177"/>
      <c r="H311" s="177"/>
      <c r="I311" s="177"/>
      <c r="J311" s="177"/>
      <c r="K311" s="177"/>
    </row>
    <row r="312" spans="1:11" s="176" customFormat="1" ht="13.5">
      <c r="A312" s="12" t="s">
        <v>219</v>
      </c>
      <c r="B312" s="812" t="s">
        <v>218</v>
      </c>
      <c r="C312" s="33">
        <f>SUM(C313)</f>
        <v>48360</v>
      </c>
      <c r="D312" s="25"/>
      <c r="E312" s="25"/>
      <c r="F312" s="106"/>
      <c r="G312" s="177"/>
      <c r="H312" s="177"/>
      <c r="I312" s="177"/>
      <c r="J312" s="177"/>
      <c r="K312" s="177"/>
    </row>
    <row r="313" spans="1:11" s="176" customFormat="1" ht="13.5" hidden="1">
      <c r="A313" s="13" t="s">
        <v>217</v>
      </c>
      <c r="B313" s="57" t="s">
        <v>216</v>
      </c>
      <c r="C313" s="821">
        <f>37200*1.3</f>
        <v>48360</v>
      </c>
      <c r="D313" s="25"/>
      <c r="E313" s="25"/>
      <c r="F313" s="106"/>
      <c r="G313" s="177"/>
      <c r="H313" s="177"/>
      <c r="I313" s="177"/>
      <c r="J313" s="177"/>
      <c r="K313" s="177"/>
    </row>
    <row r="314" spans="1:11" s="176" customFormat="1" ht="13.5">
      <c r="A314" s="353" t="s">
        <v>129</v>
      </c>
      <c r="B314" s="812" t="s">
        <v>215</v>
      </c>
      <c r="C314" s="33">
        <f>SUM(C315:C317)</f>
        <v>30360</v>
      </c>
      <c r="D314" s="25"/>
      <c r="E314" s="25"/>
      <c r="F314" s="106"/>
      <c r="G314" s="177"/>
      <c r="H314" s="177"/>
      <c r="I314" s="177"/>
      <c r="J314" s="177"/>
      <c r="K314" s="177"/>
    </row>
    <row r="315" spans="1:11" s="176" customFormat="1" ht="13.5" hidden="1">
      <c r="A315" s="107" t="s">
        <v>214</v>
      </c>
      <c r="B315" s="57" t="s">
        <v>213</v>
      </c>
      <c r="C315" s="821">
        <f>5650*1.3+15</f>
        <v>7360</v>
      </c>
      <c r="D315" s="25"/>
      <c r="E315" s="25"/>
      <c r="F315" s="106"/>
      <c r="G315" s="177"/>
      <c r="H315" s="177"/>
      <c r="I315" s="177"/>
      <c r="J315" s="177"/>
      <c r="K315" s="177"/>
    </row>
    <row r="316" spans="1:11" s="176" customFormat="1" ht="13.5" hidden="1">
      <c r="A316" s="107" t="s">
        <v>212</v>
      </c>
      <c r="B316" s="57" t="s">
        <v>211</v>
      </c>
      <c r="C316" s="821">
        <f>12500*1.2</f>
        <v>15000</v>
      </c>
      <c r="D316" s="25"/>
      <c r="E316" s="25"/>
      <c r="F316" s="106"/>
      <c r="G316" s="177"/>
      <c r="H316" s="177"/>
      <c r="I316" s="177"/>
      <c r="J316" s="177"/>
      <c r="K316" s="177"/>
    </row>
    <row r="317" spans="1:11" s="176" customFormat="1" ht="13.5" hidden="1">
      <c r="A317" s="107" t="s">
        <v>210</v>
      </c>
      <c r="B317" s="57" t="s">
        <v>209</v>
      </c>
      <c r="C317" s="821">
        <v>8000</v>
      </c>
      <c r="D317" s="25"/>
      <c r="E317" s="25"/>
      <c r="F317" s="106"/>
      <c r="G317" s="177"/>
      <c r="H317" s="177"/>
      <c r="I317" s="177"/>
      <c r="J317" s="177"/>
      <c r="K317" s="177"/>
    </row>
    <row r="318" spans="1:11" s="176" customFormat="1" ht="13.5">
      <c r="A318" s="353" t="s">
        <v>134</v>
      </c>
      <c r="B318" s="812" t="s">
        <v>133</v>
      </c>
      <c r="C318" s="33">
        <f>C319</f>
        <v>7800</v>
      </c>
      <c r="D318" s="25"/>
      <c r="E318" s="25"/>
      <c r="F318" s="106"/>
      <c r="G318" s="177"/>
      <c r="H318" s="177"/>
      <c r="I318" s="177"/>
      <c r="J318" s="177"/>
      <c r="K318" s="177"/>
    </row>
    <row r="319" spans="1:11" s="176" customFormat="1" ht="13.5" hidden="1">
      <c r="A319" s="107" t="s">
        <v>103</v>
      </c>
      <c r="B319" s="57" t="s">
        <v>78</v>
      </c>
      <c r="C319" s="821">
        <f>6000*1.3</f>
        <v>7800</v>
      </c>
      <c r="D319" s="25"/>
      <c r="E319" s="25"/>
      <c r="F319" s="106"/>
      <c r="G319" s="177"/>
      <c r="H319" s="177"/>
      <c r="I319" s="177"/>
      <c r="J319" s="177"/>
      <c r="K319" s="177"/>
    </row>
    <row r="320" spans="1:11" s="176" customFormat="1" ht="13.5">
      <c r="A320" s="353" t="s">
        <v>169</v>
      </c>
      <c r="B320" s="26" t="s">
        <v>144</v>
      </c>
      <c r="C320" s="33">
        <f>SUM(C321:C322)</f>
        <v>13200</v>
      </c>
      <c r="D320" s="25"/>
      <c r="E320" s="25"/>
      <c r="F320" s="106"/>
      <c r="G320" s="177"/>
      <c r="H320" s="177"/>
      <c r="I320" s="177"/>
      <c r="J320" s="177"/>
      <c r="K320" s="177"/>
    </row>
    <row r="321" spans="1:11" s="176" customFormat="1" ht="13.5" hidden="1">
      <c r="A321" s="13" t="s">
        <v>170</v>
      </c>
      <c r="B321" s="13" t="s">
        <v>70</v>
      </c>
      <c r="C321" s="821">
        <f>3250*1.2</f>
        <v>3900</v>
      </c>
      <c r="D321" s="25"/>
      <c r="E321" s="25"/>
      <c r="F321" s="106"/>
      <c r="G321" s="177"/>
      <c r="H321" s="177"/>
      <c r="I321" s="177"/>
      <c r="J321" s="177"/>
      <c r="K321" s="177"/>
    </row>
    <row r="322" spans="1:11" s="176" customFormat="1" ht="13.5" hidden="1">
      <c r="A322" s="13" t="s">
        <v>172</v>
      </c>
      <c r="B322" s="13" t="s">
        <v>135</v>
      </c>
      <c r="C322" s="821">
        <f>7150*1.3+5</f>
        <v>9300</v>
      </c>
      <c r="D322" s="25"/>
      <c r="E322" s="25"/>
      <c r="F322" s="106"/>
      <c r="G322" s="177"/>
      <c r="H322" s="177"/>
      <c r="I322" s="177"/>
      <c r="J322" s="177"/>
      <c r="K322" s="177"/>
    </row>
    <row r="323" spans="1:11" s="176" customFormat="1" ht="14.25" thickBot="1">
      <c r="A323" s="107"/>
      <c r="B323" s="107"/>
      <c r="C323" s="24"/>
      <c r="D323" s="25"/>
      <c r="E323" s="25"/>
      <c r="F323" s="106"/>
      <c r="G323" s="177"/>
      <c r="H323" s="177"/>
      <c r="I323" s="177"/>
      <c r="J323" s="177"/>
      <c r="K323" s="177"/>
    </row>
    <row r="324" spans="1:11" s="176" customFormat="1" ht="14.25" thickBot="1">
      <c r="A324" s="949" t="s">
        <v>3</v>
      </c>
      <c r="B324" s="950"/>
      <c r="C324" s="36">
        <f>C325+C328+C330+C333+C335</f>
        <v>528610</v>
      </c>
      <c r="D324" s="25"/>
      <c r="E324" s="25"/>
      <c r="F324" s="106"/>
      <c r="G324" s="177"/>
      <c r="H324" s="177"/>
      <c r="I324" s="177"/>
      <c r="J324" s="177"/>
      <c r="K324" s="177"/>
    </row>
    <row r="325" spans="1:11" s="178" customFormat="1" ht="13.5">
      <c r="A325" s="12" t="s">
        <v>120</v>
      </c>
      <c r="B325" s="404" t="s">
        <v>121</v>
      </c>
      <c r="C325" s="34">
        <f>SUM(C326:C327)</f>
        <v>110650</v>
      </c>
      <c r="D325" s="137"/>
      <c r="E325" s="137"/>
      <c r="F325" s="180"/>
      <c r="G325" s="179"/>
      <c r="H325" s="179"/>
      <c r="I325" s="179"/>
      <c r="J325" s="179"/>
      <c r="K325" s="179"/>
    </row>
    <row r="326" spans="1:11" s="178" customFormat="1" ht="13.5" hidden="1">
      <c r="A326" s="13" t="s">
        <v>179</v>
      </c>
      <c r="B326" s="57" t="s">
        <v>178</v>
      </c>
      <c r="C326" s="824">
        <f>74035*1.3+4.5</f>
        <v>96250</v>
      </c>
      <c r="D326" s="137"/>
      <c r="E326" s="137"/>
      <c r="F326" s="180"/>
      <c r="G326" s="179"/>
      <c r="H326" s="179"/>
      <c r="I326" s="179"/>
      <c r="J326" s="179"/>
      <c r="K326" s="179"/>
    </row>
    <row r="327" spans="1:11" s="176" customFormat="1" ht="13.5" hidden="1">
      <c r="A327" s="13" t="s">
        <v>57</v>
      </c>
      <c r="B327" s="13" t="s">
        <v>208</v>
      </c>
      <c r="C327" s="821">
        <f>12000*1.2</f>
        <v>14400</v>
      </c>
      <c r="D327" s="25"/>
      <c r="E327" s="25"/>
      <c r="F327" s="106"/>
      <c r="G327" s="177"/>
      <c r="H327" s="177"/>
      <c r="I327" s="177"/>
      <c r="J327" s="177"/>
      <c r="K327" s="177"/>
    </row>
    <row r="328" spans="1:11" s="176" customFormat="1" ht="13.5">
      <c r="A328" s="12" t="s">
        <v>130</v>
      </c>
      <c r="B328" s="812" t="s">
        <v>131</v>
      </c>
      <c r="C328" s="33">
        <f>SUM(C329)</f>
        <v>20000</v>
      </c>
      <c r="D328" s="25"/>
      <c r="E328" s="25"/>
      <c r="F328" s="106"/>
      <c r="G328" s="177"/>
      <c r="H328" s="177"/>
      <c r="I328" s="177"/>
      <c r="J328" s="177"/>
      <c r="K328" s="177"/>
    </row>
    <row r="329" spans="1:11" s="176" customFormat="1" ht="13.5" hidden="1">
      <c r="A329" s="13" t="s">
        <v>207</v>
      </c>
      <c r="B329" s="57" t="s">
        <v>206</v>
      </c>
      <c r="C329" s="821">
        <v>20000</v>
      </c>
      <c r="D329" s="25"/>
      <c r="E329" s="25"/>
      <c r="F329" s="106"/>
      <c r="G329" s="177"/>
      <c r="H329" s="177"/>
      <c r="I329" s="177"/>
      <c r="J329" s="177"/>
      <c r="K329" s="177"/>
    </row>
    <row r="330" spans="1:11" s="176" customFormat="1" ht="13.5">
      <c r="A330" s="12" t="s">
        <v>122</v>
      </c>
      <c r="B330" s="12" t="s">
        <v>175</v>
      </c>
      <c r="C330" s="33">
        <f>SUM(C331:C332)</f>
        <v>186960</v>
      </c>
      <c r="D330" s="25"/>
      <c r="E330" s="25"/>
      <c r="F330" s="106"/>
      <c r="G330" s="177"/>
      <c r="H330" s="177"/>
      <c r="I330" s="177"/>
      <c r="J330" s="177"/>
      <c r="K330" s="177"/>
    </row>
    <row r="331" spans="1:255" s="182" customFormat="1" ht="13.5" hidden="1">
      <c r="A331" s="13" t="s">
        <v>150</v>
      </c>
      <c r="B331" s="13" t="s">
        <v>149</v>
      </c>
      <c r="C331" s="821">
        <f>6500*1.2</f>
        <v>7800</v>
      </c>
      <c r="D331" s="25"/>
      <c r="E331" s="25"/>
      <c r="F331" s="106"/>
      <c r="G331" s="177"/>
      <c r="H331" s="177"/>
      <c r="I331" s="177"/>
      <c r="J331" s="177"/>
      <c r="K331" s="177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176"/>
      <c r="AA331" s="176"/>
      <c r="AB331" s="176"/>
      <c r="AC331" s="176"/>
      <c r="AD331" s="176"/>
      <c r="AE331" s="176"/>
      <c r="AF331" s="176"/>
      <c r="AG331" s="176"/>
      <c r="AH331" s="176"/>
      <c r="AI331" s="176"/>
      <c r="AJ331" s="176"/>
      <c r="AK331" s="176"/>
      <c r="AL331" s="176"/>
      <c r="AM331" s="176"/>
      <c r="AN331" s="176"/>
      <c r="AO331" s="176"/>
      <c r="AP331" s="176"/>
      <c r="AQ331" s="176"/>
      <c r="AR331" s="176"/>
      <c r="AS331" s="176"/>
      <c r="AT331" s="176"/>
      <c r="AU331" s="176"/>
      <c r="AV331" s="176"/>
      <c r="AW331" s="176"/>
      <c r="AX331" s="176"/>
      <c r="AY331" s="176"/>
      <c r="AZ331" s="176"/>
      <c r="BA331" s="176"/>
      <c r="BB331" s="176"/>
      <c r="BC331" s="176"/>
      <c r="BD331" s="176"/>
      <c r="BE331" s="176"/>
      <c r="BF331" s="176"/>
      <c r="BG331" s="176"/>
      <c r="BH331" s="176"/>
      <c r="BI331" s="176"/>
      <c r="BJ331" s="176"/>
      <c r="BK331" s="176"/>
      <c r="BL331" s="176"/>
      <c r="BM331" s="176"/>
      <c r="BN331" s="176"/>
      <c r="BO331" s="176"/>
      <c r="BP331" s="176"/>
      <c r="BQ331" s="176"/>
      <c r="BR331" s="176"/>
      <c r="BS331" s="176"/>
      <c r="BT331" s="176"/>
      <c r="BU331" s="176"/>
      <c r="BV331" s="176"/>
      <c r="BW331" s="176"/>
      <c r="BX331" s="176"/>
      <c r="BY331" s="176"/>
      <c r="BZ331" s="176"/>
      <c r="CA331" s="176"/>
      <c r="CB331" s="176"/>
      <c r="CC331" s="176"/>
      <c r="CD331" s="176"/>
      <c r="CE331" s="176"/>
      <c r="CF331" s="176"/>
      <c r="CG331" s="176"/>
      <c r="CH331" s="176"/>
      <c r="CI331" s="176"/>
      <c r="CJ331" s="176"/>
      <c r="CK331" s="176"/>
      <c r="CL331" s="176"/>
      <c r="CM331" s="176"/>
      <c r="CN331" s="176"/>
      <c r="CO331" s="176"/>
      <c r="CP331" s="176"/>
      <c r="CQ331" s="176"/>
      <c r="CR331" s="176"/>
      <c r="CS331" s="176"/>
      <c r="CT331" s="176"/>
      <c r="CU331" s="176"/>
      <c r="CV331" s="176"/>
      <c r="CW331" s="176"/>
      <c r="CX331" s="176"/>
      <c r="CY331" s="176"/>
      <c r="CZ331" s="176"/>
      <c r="DA331" s="176"/>
      <c r="DB331" s="176"/>
      <c r="DC331" s="176"/>
      <c r="DD331" s="176"/>
      <c r="DE331" s="176"/>
      <c r="DF331" s="176"/>
      <c r="DG331" s="176"/>
      <c r="DH331" s="176"/>
      <c r="DI331" s="176"/>
      <c r="DJ331" s="176"/>
      <c r="DK331" s="176"/>
      <c r="DL331" s="176"/>
      <c r="DM331" s="176"/>
      <c r="DN331" s="176"/>
      <c r="DO331" s="176"/>
      <c r="DP331" s="176"/>
      <c r="DQ331" s="176"/>
      <c r="DR331" s="176"/>
      <c r="DS331" s="176"/>
      <c r="DT331" s="176"/>
      <c r="DU331" s="176"/>
      <c r="DV331" s="176"/>
      <c r="DW331" s="176"/>
      <c r="DX331" s="176"/>
      <c r="DY331" s="176"/>
      <c r="DZ331" s="176"/>
      <c r="EA331" s="176"/>
      <c r="EB331" s="176"/>
      <c r="EC331" s="176"/>
      <c r="ED331" s="176"/>
      <c r="EE331" s="176"/>
      <c r="EF331" s="176"/>
      <c r="EG331" s="176"/>
      <c r="EH331" s="176"/>
      <c r="EI331" s="176"/>
      <c r="EJ331" s="176"/>
      <c r="EK331" s="176"/>
      <c r="EL331" s="176"/>
      <c r="EM331" s="176"/>
      <c r="EN331" s="176"/>
      <c r="EO331" s="176"/>
      <c r="EP331" s="176"/>
      <c r="EQ331" s="176"/>
      <c r="ER331" s="176"/>
      <c r="ES331" s="176"/>
      <c r="ET331" s="176"/>
      <c r="EU331" s="176"/>
      <c r="EV331" s="176"/>
      <c r="EW331" s="176"/>
      <c r="EX331" s="176"/>
      <c r="EY331" s="176"/>
      <c r="EZ331" s="176"/>
      <c r="FA331" s="176"/>
      <c r="FB331" s="176"/>
      <c r="FC331" s="176"/>
      <c r="FD331" s="176"/>
      <c r="FE331" s="176"/>
      <c r="FF331" s="176"/>
      <c r="FG331" s="176"/>
      <c r="FH331" s="176"/>
      <c r="FI331" s="176"/>
      <c r="FJ331" s="176"/>
      <c r="FK331" s="176"/>
      <c r="FL331" s="176"/>
      <c r="FM331" s="176"/>
      <c r="FN331" s="176"/>
      <c r="FO331" s="176"/>
      <c r="FP331" s="176"/>
      <c r="FQ331" s="176"/>
      <c r="FR331" s="176"/>
      <c r="FS331" s="176"/>
      <c r="FT331" s="176"/>
      <c r="FU331" s="176"/>
      <c r="FV331" s="176"/>
      <c r="FW331" s="176"/>
      <c r="FX331" s="176"/>
      <c r="FY331" s="176"/>
      <c r="FZ331" s="176"/>
      <c r="GA331" s="176"/>
      <c r="GB331" s="176"/>
      <c r="GC331" s="176"/>
      <c r="GD331" s="176"/>
      <c r="GE331" s="176"/>
      <c r="GF331" s="176"/>
      <c r="GG331" s="176"/>
      <c r="GH331" s="176"/>
      <c r="GI331" s="176"/>
      <c r="GJ331" s="176"/>
      <c r="GK331" s="176"/>
      <c r="GL331" s="176"/>
      <c r="GM331" s="176"/>
      <c r="GN331" s="176"/>
      <c r="GO331" s="176"/>
      <c r="GP331" s="176"/>
      <c r="GQ331" s="176"/>
      <c r="GR331" s="176"/>
      <c r="GS331" s="176"/>
      <c r="GT331" s="176"/>
      <c r="GU331" s="176"/>
      <c r="GV331" s="176"/>
      <c r="GW331" s="176"/>
      <c r="GX331" s="176"/>
      <c r="GY331" s="176"/>
      <c r="GZ331" s="176"/>
      <c r="HA331" s="176"/>
      <c r="HB331" s="176"/>
      <c r="HC331" s="176"/>
      <c r="HD331" s="176"/>
      <c r="HE331" s="176"/>
      <c r="HF331" s="176"/>
      <c r="HG331" s="176"/>
      <c r="HH331" s="176"/>
      <c r="HI331" s="176"/>
      <c r="HJ331" s="176"/>
      <c r="HK331" s="176"/>
      <c r="HL331" s="176"/>
      <c r="HM331" s="176"/>
      <c r="HN331" s="176"/>
      <c r="HO331" s="176"/>
      <c r="HP331" s="176"/>
      <c r="HQ331" s="176"/>
      <c r="HR331" s="176"/>
      <c r="HS331" s="176"/>
      <c r="HT331" s="176"/>
      <c r="HU331" s="176"/>
      <c r="HV331" s="176"/>
      <c r="HW331" s="176"/>
      <c r="HX331" s="176"/>
      <c r="HY331" s="176"/>
      <c r="HZ331" s="176"/>
      <c r="IA331" s="176"/>
      <c r="IB331" s="176"/>
      <c r="IC331" s="176"/>
      <c r="ID331" s="176"/>
      <c r="IE331" s="176"/>
      <c r="IF331" s="176"/>
      <c r="IG331" s="176"/>
      <c r="IH331" s="176"/>
      <c r="II331" s="176"/>
      <c r="IJ331" s="176"/>
      <c r="IK331" s="176"/>
      <c r="IL331" s="176"/>
      <c r="IM331" s="176"/>
      <c r="IN331" s="176"/>
      <c r="IO331" s="176"/>
      <c r="IP331" s="176"/>
      <c r="IQ331" s="176"/>
      <c r="IR331" s="176"/>
      <c r="IS331" s="176"/>
      <c r="IT331" s="176"/>
      <c r="IU331" s="176"/>
    </row>
    <row r="332" spans="1:11" s="176" customFormat="1" ht="13.5" hidden="1">
      <c r="A332" s="13" t="s">
        <v>174</v>
      </c>
      <c r="B332" s="13" t="s">
        <v>97</v>
      </c>
      <c r="C332" s="821">
        <f>153200*1.3-20000</f>
        <v>179160</v>
      </c>
      <c r="E332" s="25"/>
      <c r="F332" s="25"/>
      <c r="G332" s="177"/>
      <c r="H332" s="177"/>
      <c r="I332" s="177"/>
      <c r="J332" s="177"/>
      <c r="K332" s="177"/>
    </row>
    <row r="333" spans="1:11" s="176" customFormat="1" ht="13.5">
      <c r="A333" s="12" t="s">
        <v>143</v>
      </c>
      <c r="B333" s="33" t="s">
        <v>61</v>
      </c>
      <c r="C333" s="33">
        <f>SUM(C334)</f>
        <v>14400</v>
      </c>
      <c r="E333" s="25"/>
      <c r="F333" s="25"/>
      <c r="G333" s="177"/>
      <c r="H333" s="177"/>
      <c r="I333" s="177"/>
      <c r="J333" s="177"/>
      <c r="K333" s="177"/>
    </row>
    <row r="334" spans="1:11" s="176" customFormat="1" ht="13.5" hidden="1">
      <c r="A334" s="13" t="s">
        <v>60</v>
      </c>
      <c r="B334" s="13" t="s">
        <v>61</v>
      </c>
      <c r="C334" s="821">
        <f>12000*1.2</f>
        <v>14400</v>
      </c>
      <c r="E334" s="25"/>
      <c r="F334" s="25"/>
      <c r="G334" s="177"/>
      <c r="H334" s="177"/>
      <c r="I334" s="177"/>
      <c r="J334" s="177"/>
      <c r="K334" s="177"/>
    </row>
    <row r="335" spans="1:11" s="176" customFormat="1" ht="13.5">
      <c r="A335" s="12" t="s">
        <v>125</v>
      </c>
      <c r="B335" s="353" t="s">
        <v>8</v>
      </c>
      <c r="C335" s="33">
        <f>SUM(C336:C339)</f>
        <v>196600</v>
      </c>
      <c r="E335" s="25"/>
      <c r="F335" s="25"/>
      <c r="G335" s="177"/>
      <c r="H335" s="177"/>
      <c r="I335" s="177"/>
      <c r="J335" s="177"/>
      <c r="K335" s="177"/>
    </row>
    <row r="336" spans="1:11" s="176" customFormat="1" ht="13.5" hidden="1">
      <c r="A336" s="13" t="s">
        <v>99</v>
      </c>
      <c r="B336" s="107" t="s">
        <v>8</v>
      </c>
      <c r="C336" s="821">
        <f>((7000*2*5)+(8000*2*6))</f>
        <v>166000</v>
      </c>
      <c r="E336" s="25"/>
      <c r="F336" s="25"/>
      <c r="G336" s="177"/>
      <c r="H336" s="177"/>
      <c r="I336" s="177"/>
      <c r="J336" s="177"/>
      <c r="K336" s="177"/>
    </row>
    <row r="337" spans="1:11" s="176" customFormat="1" ht="13.5" hidden="1">
      <c r="A337" s="13" t="s">
        <v>205</v>
      </c>
      <c r="B337" s="13" t="s">
        <v>204</v>
      </c>
      <c r="C337" s="821">
        <f>5400*1.2</f>
        <v>6480</v>
      </c>
      <c r="E337" s="25"/>
      <c r="F337" s="25"/>
      <c r="G337" s="177"/>
      <c r="H337" s="177"/>
      <c r="I337" s="177"/>
      <c r="J337" s="177"/>
      <c r="K337" s="177"/>
    </row>
    <row r="338" spans="1:255" s="176" customFormat="1" ht="13.5" hidden="1">
      <c r="A338" s="13" t="s">
        <v>203</v>
      </c>
      <c r="B338" s="107" t="s">
        <v>202</v>
      </c>
      <c r="C338" s="821">
        <f>3600*1.2</f>
        <v>4320</v>
      </c>
      <c r="D338" s="24"/>
      <c r="E338" s="24"/>
      <c r="F338" s="106"/>
      <c r="G338" s="177"/>
      <c r="H338" s="177"/>
      <c r="I338" s="177"/>
      <c r="J338" s="177"/>
      <c r="K338" s="177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182"/>
      <c r="AT338" s="182"/>
      <c r="AU338" s="182"/>
      <c r="AV338" s="182"/>
      <c r="AW338" s="182"/>
      <c r="AX338" s="182"/>
      <c r="AY338" s="182"/>
      <c r="AZ338" s="182"/>
      <c r="BA338" s="182"/>
      <c r="BB338" s="182"/>
      <c r="BC338" s="182"/>
      <c r="BD338" s="182"/>
      <c r="BE338" s="182"/>
      <c r="BF338" s="182"/>
      <c r="BG338" s="182"/>
      <c r="BH338" s="182"/>
      <c r="BI338" s="182"/>
      <c r="BJ338" s="182"/>
      <c r="BK338" s="182"/>
      <c r="BL338" s="182"/>
      <c r="BM338" s="182"/>
      <c r="BN338" s="182"/>
      <c r="BO338" s="182"/>
      <c r="BP338" s="182"/>
      <c r="BQ338" s="182"/>
      <c r="BR338" s="182"/>
      <c r="BS338" s="182"/>
      <c r="BT338" s="182"/>
      <c r="BU338" s="182"/>
      <c r="BV338" s="182"/>
      <c r="BW338" s="182"/>
      <c r="BX338" s="182"/>
      <c r="BY338" s="182"/>
      <c r="BZ338" s="182"/>
      <c r="CA338" s="182"/>
      <c r="CB338" s="182"/>
      <c r="CC338" s="182"/>
      <c r="CD338" s="182"/>
      <c r="CE338" s="182"/>
      <c r="CF338" s="182"/>
      <c r="CG338" s="182"/>
      <c r="CH338" s="182"/>
      <c r="CI338" s="182"/>
      <c r="CJ338" s="182"/>
      <c r="CK338" s="182"/>
      <c r="CL338" s="182"/>
      <c r="CM338" s="182"/>
      <c r="CN338" s="182"/>
      <c r="CO338" s="182"/>
      <c r="CP338" s="182"/>
      <c r="CQ338" s="182"/>
      <c r="CR338" s="182"/>
      <c r="CS338" s="182"/>
      <c r="CT338" s="182"/>
      <c r="CU338" s="182"/>
      <c r="CV338" s="182"/>
      <c r="CW338" s="182"/>
      <c r="CX338" s="182"/>
      <c r="CY338" s="182"/>
      <c r="CZ338" s="182"/>
      <c r="DA338" s="182"/>
      <c r="DB338" s="182"/>
      <c r="DC338" s="182"/>
      <c r="DD338" s="182"/>
      <c r="DE338" s="182"/>
      <c r="DF338" s="182"/>
      <c r="DG338" s="182"/>
      <c r="DH338" s="182"/>
      <c r="DI338" s="182"/>
      <c r="DJ338" s="182"/>
      <c r="DK338" s="182"/>
      <c r="DL338" s="182"/>
      <c r="DM338" s="182"/>
      <c r="DN338" s="182"/>
      <c r="DO338" s="182"/>
      <c r="DP338" s="182"/>
      <c r="DQ338" s="182"/>
      <c r="DR338" s="182"/>
      <c r="DS338" s="182"/>
      <c r="DT338" s="182"/>
      <c r="DU338" s="182"/>
      <c r="DV338" s="182"/>
      <c r="DW338" s="182"/>
      <c r="DX338" s="182"/>
      <c r="DY338" s="182"/>
      <c r="DZ338" s="182"/>
      <c r="EA338" s="182"/>
      <c r="EB338" s="182"/>
      <c r="EC338" s="182"/>
      <c r="ED338" s="182"/>
      <c r="EE338" s="182"/>
      <c r="EF338" s="182"/>
      <c r="EG338" s="182"/>
      <c r="EH338" s="182"/>
      <c r="EI338" s="182"/>
      <c r="EJ338" s="182"/>
      <c r="EK338" s="182"/>
      <c r="EL338" s="182"/>
      <c r="EM338" s="182"/>
      <c r="EN338" s="182"/>
      <c r="EO338" s="182"/>
      <c r="EP338" s="182"/>
      <c r="EQ338" s="182"/>
      <c r="ER338" s="182"/>
      <c r="ES338" s="182"/>
      <c r="ET338" s="182"/>
      <c r="EU338" s="182"/>
      <c r="EV338" s="182"/>
      <c r="EW338" s="182"/>
      <c r="EX338" s="182"/>
      <c r="EY338" s="182"/>
      <c r="EZ338" s="182"/>
      <c r="FA338" s="182"/>
      <c r="FB338" s="182"/>
      <c r="FC338" s="182"/>
      <c r="FD338" s="182"/>
      <c r="FE338" s="182"/>
      <c r="FF338" s="182"/>
      <c r="FG338" s="182"/>
      <c r="FH338" s="182"/>
      <c r="FI338" s="182"/>
      <c r="FJ338" s="182"/>
      <c r="FK338" s="182"/>
      <c r="FL338" s="182"/>
      <c r="FM338" s="182"/>
      <c r="FN338" s="182"/>
      <c r="FO338" s="182"/>
      <c r="FP338" s="182"/>
      <c r="FQ338" s="182"/>
      <c r="FR338" s="182"/>
      <c r="FS338" s="182"/>
      <c r="FT338" s="182"/>
      <c r="FU338" s="182"/>
      <c r="FV338" s="182"/>
      <c r="FW338" s="182"/>
      <c r="FX338" s="182"/>
      <c r="FY338" s="182"/>
      <c r="FZ338" s="182"/>
      <c r="GA338" s="182"/>
      <c r="GB338" s="182"/>
      <c r="GC338" s="182"/>
      <c r="GD338" s="182"/>
      <c r="GE338" s="182"/>
      <c r="GF338" s="182"/>
      <c r="GG338" s="182"/>
      <c r="GH338" s="182"/>
      <c r="GI338" s="182"/>
      <c r="GJ338" s="182"/>
      <c r="GK338" s="182"/>
      <c r="GL338" s="182"/>
      <c r="GM338" s="182"/>
      <c r="GN338" s="182"/>
      <c r="GO338" s="182"/>
      <c r="GP338" s="182"/>
      <c r="GQ338" s="182"/>
      <c r="GR338" s="182"/>
      <c r="GS338" s="182"/>
      <c r="GT338" s="182"/>
      <c r="GU338" s="182"/>
      <c r="GV338" s="182"/>
      <c r="GW338" s="182"/>
      <c r="GX338" s="182"/>
      <c r="GY338" s="182"/>
      <c r="GZ338" s="182"/>
      <c r="HA338" s="182"/>
      <c r="HB338" s="182"/>
      <c r="HC338" s="182"/>
      <c r="HD338" s="182"/>
      <c r="HE338" s="182"/>
      <c r="HF338" s="182"/>
      <c r="HG338" s="182"/>
      <c r="HH338" s="182"/>
      <c r="HI338" s="182"/>
      <c r="HJ338" s="182"/>
      <c r="HK338" s="182"/>
      <c r="HL338" s="182"/>
      <c r="HM338" s="182"/>
      <c r="HN338" s="182"/>
      <c r="HO338" s="182"/>
      <c r="HP338" s="182"/>
      <c r="HQ338" s="182"/>
      <c r="HR338" s="182"/>
      <c r="HS338" s="182"/>
      <c r="HT338" s="182"/>
      <c r="HU338" s="182"/>
      <c r="HV338" s="182"/>
      <c r="HW338" s="182"/>
      <c r="HX338" s="182"/>
      <c r="HY338" s="182"/>
      <c r="HZ338" s="182"/>
      <c r="IA338" s="182"/>
      <c r="IB338" s="182"/>
      <c r="IC338" s="182"/>
      <c r="ID338" s="182"/>
      <c r="IE338" s="182"/>
      <c r="IF338" s="182"/>
      <c r="IG338" s="182"/>
      <c r="IH338" s="182"/>
      <c r="II338" s="182"/>
      <c r="IJ338" s="182"/>
      <c r="IK338" s="182"/>
      <c r="IL338" s="182"/>
      <c r="IM338" s="182"/>
      <c r="IN338" s="182"/>
      <c r="IO338" s="182"/>
      <c r="IP338" s="182"/>
      <c r="IQ338" s="182"/>
      <c r="IR338" s="182"/>
      <c r="IS338" s="182"/>
      <c r="IT338" s="182"/>
      <c r="IU338" s="182"/>
    </row>
    <row r="339" spans="1:11" s="176" customFormat="1" ht="13.5" hidden="1">
      <c r="A339" s="13" t="s">
        <v>100</v>
      </c>
      <c r="B339" s="13" t="s">
        <v>7</v>
      </c>
      <c r="C339" s="821">
        <f>18000*1.1</f>
        <v>19800</v>
      </c>
      <c r="D339" s="25"/>
      <c r="E339" s="25"/>
      <c r="F339" s="106"/>
      <c r="G339" s="177"/>
      <c r="H339" s="177"/>
      <c r="I339" s="177"/>
      <c r="J339" s="177"/>
      <c r="K339" s="177"/>
    </row>
    <row r="340" spans="1:11" s="176" customFormat="1" ht="14.25" thickBot="1">
      <c r="A340" s="107"/>
      <c r="B340" s="107"/>
      <c r="C340" s="24"/>
      <c r="D340" s="25"/>
      <c r="E340" s="25"/>
      <c r="F340" s="106"/>
      <c r="G340" s="177"/>
      <c r="H340" s="177"/>
      <c r="I340" s="177"/>
      <c r="J340" s="177"/>
      <c r="K340" s="177"/>
    </row>
    <row r="341" spans="1:11" s="176" customFormat="1" ht="14.25" thickBot="1">
      <c r="A341" s="951" t="s">
        <v>4</v>
      </c>
      <c r="B341" s="952"/>
      <c r="C341" s="32">
        <f>C342+C346+C348+C351</f>
        <v>85402</v>
      </c>
      <c r="D341" s="25"/>
      <c r="E341" s="25"/>
      <c r="F341" s="106"/>
      <c r="G341" s="177"/>
      <c r="H341" s="177"/>
      <c r="I341" s="177"/>
      <c r="J341" s="177"/>
      <c r="K341" s="177"/>
    </row>
    <row r="342" spans="1:6" s="181" customFormat="1" ht="13.5">
      <c r="A342" s="353" t="s">
        <v>201</v>
      </c>
      <c r="B342" s="812" t="s">
        <v>200</v>
      </c>
      <c r="C342" s="33">
        <f>SUM(C343:C345)</f>
        <v>56101</v>
      </c>
      <c r="D342" s="25"/>
      <c r="E342" s="25"/>
      <c r="F342" s="106"/>
    </row>
    <row r="343" spans="1:6" s="181" customFormat="1" ht="13.5" hidden="1">
      <c r="A343" s="107" t="s">
        <v>199</v>
      </c>
      <c r="B343" s="57" t="s">
        <v>198</v>
      </c>
      <c r="C343" s="821">
        <v>1</v>
      </c>
      <c r="D343" s="25"/>
      <c r="E343" s="25"/>
      <c r="F343" s="106"/>
    </row>
    <row r="344" spans="1:6" s="181" customFormat="1" ht="13.5" hidden="1">
      <c r="A344" s="107" t="s">
        <v>197</v>
      </c>
      <c r="B344" s="57" t="s">
        <v>196</v>
      </c>
      <c r="C344" s="821">
        <v>40500</v>
      </c>
      <c r="D344" s="25"/>
      <c r="E344" s="25"/>
      <c r="F344" s="106"/>
    </row>
    <row r="345" spans="1:6" s="181" customFormat="1" ht="13.5" hidden="1">
      <c r="A345" s="107" t="s">
        <v>195</v>
      </c>
      <c r="B345" s="57" t="s">
        <v>194</v>
      </c>
      <c r="C345" s="821">
        <f>12000*1.3</f>
        <v>15600</v>
      </c>
      <c r="D345" s="25"/>
      <c r="E345" s="25"/>
      <c r="F345" s="106"/>
    </row>
    <row r="346" spans="1:11" s="176" customFormat="1" ht="13.5">
      <c r="A346" s="353" t="s">
        <v>193</v>
      </c>
      <c r="B346" s="812" t="s">
        <v>192</v>
      </c>
      <c r="C346" s="33">
        <f>C347</f>
        <v>1</v>
      </c>
      <c r="D346" s="25"/>
      <c r="E346" s="25"/>
      <c r="F346" s="106"/>
      <c r="G346" s="177"/>
      <c r="H346" s="177"/>
      <c r="I346" s="177"/>
      <c r="J346" s="177"/>
      <c r="K346" s="177"/>
    </row>
    <row r="347" spans="1:11" s="176" customFormat="1" ht="13.5" hidden="1">
      <c r="A347" s="107" t="s">
        <v>191</v>
      </c>
      <c r="B347" s="57" t="s">
        <v>190</v>
      </c>
      <c r="C347" s="821">
        <v>1</v>
      </c>
      <c r="D347" s="25"/>
      <c r="E347" s="25"/>
      <c r="F347" s="106"/>
      <c r="G347" s="177"/>
      <c r="H347" s="177"/>
      <c r="I347" s="177"/>
      <c r="J347" s="177"/>
      <c r="K347" s="177"/>
    </row>
    <row r="348" spans="1:11" s="178" customFormat="1" ht="13.5">
      <c r="A348" s="353" t="s">
        <v>126</v>
      </c>
      <c r="B348" s="404" t="s">
        <v>127</v>
      </c>
      <c r="C348" s="34">
        <f>SUM(C349:C350)</f>
        <v>24100</v>
      </c>
      <c r="D348" s="137"/>
      <c r="E348" s="137"/>
      <c r="F348" s="180"/>
      <c r="G348" s="179"/>
      <c r="H348" s="179"/>
      <c r="I348" s="179"/>
      <c r="J348" s="179"/>
      <c r="K348" s="179"/>
    </row>
    <row r="349" spans="1:11" s="176" customFormat="1" ht="13.5" hidden="1">
      <c r="A349" s="107" t="s">
        <v>101</v>
      </c>
      <c r="B349" s="13" t="s">
        <v>152</v>
      </c>
      <c r="C349" s="821">
        <f>12350*1.3+45</f>
        <v>16100</v>
      </c>
      <c r="D349" s="25"/>
      <c r="E349" s="25"/>
      <c r="F349" s="106"/>
      <c r="G349" s="177"/>
      <c r="H349" s="177"/>
      <c r="I349" s="177"/>
      <c r="J349" s="177"/>
      <c r="K349" s="177"/>
    </row>
    <row r="350" spans="1:11" s="176" customFormat="1" ht="13.5" hidden="1">
      <c r="A350" s="107" t="s">
        <v>62</v>
      </c>
      <c r="B350" s="13" t="s">
        <v>63</v>
      </c>
      <c r="C350" s="821">
        <v>8000</v>
      </c>
      <c r="D350" s="25"/>
      <c r="E350" s="25"/>
      <c r="F350" s="106"/>
      <c r="G350" s="177"/>
      <c r="H350" s="177"/>
      <c r="I350" s="177"/>
      <c r="J350" s="177"/>
      <c r="K350" s="177"/>
    </row>
    <row r="351" spans="1:11" s="176" customFormat="1" ht="13.5">
      <c r="A351" s="353" t="s">
        <v>188</v>
      </c>
      <c r="B351" s="26" t="s">
        <v>146</v>
      </c>
      <c r="C351" s="33">
        <f>SUM(C352)</f>
        <v>5200</v>
      </c>
      <c r="D351" s="25"/>
      <c r="E351" s="25"/>
      <c r="F351" s="106"/>
      <c r="G351" s="177"/>
      <c r="H351" s="177"/>
      <c r="I351" s="177"/>
      <c r="J351" s="177"/>
      <c r="K351" s="177"/>
    </row>
    <row r="352" spans="1:11" s="176" customFormat="1" ht="13.5" hidden="1">
      <c r="A352" s="107" t="s">
        <v>189</v>
      </c>
      <c r="B352" s="13" t="s">
        <v>56</v>
      </c>
      <c r="C352" s="821">
        <f>4000*1.3</f>
        <v>5200</v>
      </c>
      <c r="D352" s="25"/>
      <c r="E352" s="25"/>
      <c r="F352" s="106"/>
      <c r="G352" s="177"/>
      <c r="H352" s="177"/>
      <c r="I352" s="177"/>
      <c r="J352" s="177"/>
      <c r="K352" s="177"/>
    </row>
    <row r="353" spans="1:11" s="176" customFormat="1" ht="13.5">
      <c r="A353" s="107"/>
      <c r="B353" s="13"/>
      <c r="C353" s="25"/>
      <c r="D353" s="25"/>
      <c r="E353" s="25"/>
      <c r="F353" s="106"/>
      <c r="G353" s="177"/>
      <c r="H353" s="177"/>
      <c r="I353" s="177"/>
      <c r="J353" s="177"/>
      <c r="K353" s="177"/>
    </row>
    <row r="354" spans="1:13" s="9" customFormat="1" ht="13.5">
      <c r="A354" s="105"/>
      <c r="B354" s="105"/>
      <c r="C354" s="101"/>
      <c r="D354" s="101"/>
      <c r="E354" s="101"/>
      <c r="F354" s="87"/>
      <c r="G354" s="87"/>
      <c r="H354" s="57"/>
      <c r="I354" s="57"/>
      <c r="J354" s="57"/>
      <c r="K354" s="57"/>
      <c r="L354" s="57"/>
      <c r="M354" s="57"/>
    </row>
    <row r="355" spans="2:13" s="7" customFormat="1" ht="13.5">
      <c r="B355" s="30"/>
      <c r="C355" s="30"/>
      <c r="D355" s="31"/>
      <c r="E355" s="35"/>
      <c r="F355" s="130"/>
      <c r="G355" s="14"/>
      <c r="H355" s="14"/>
      <c r="I355" s="14"/>
      <c r="J355" s="14"/>
      <c r="K355" s="14"/>
      <c r="L355" s="14"/>
      <c r="M355" s="14"/>
    </row>
    <row r="356" spans="2:13" s="7" customFormat="1" ht="13.5">
      <c r="B356" s="30"/>
      <c r="C356" s="30"/>
      <c r="D356" s="31"/>
      <c r="E356" s="35"/>
      <c r="F356" s="130"/>
      <c r="G356" s="14"/>
      <c r="H356" s="14"/>
      <c r="I356" s="14"/>
      <c r="J356" s="14"/>
      <c r="K356" s="14"/>
      <c r="L356" s="14"/>
      <c r="M356" s="14"/>
    </row>
    <row r="357" spans="2:13" s="7" customFormat="1" ht="13.5">
      <c r="B357" s="30"/>
      <c r="C357" s="30"/>
      <c r="D357" s="31"/>
      <c r="E357" s="35"/>
      <c r="F357" s="130"/>
      <c r="G357" s="14"/>
      <c r="H357" s="14"/>
      <c r="I357" s="14"/>
      <c r="J357" s="14"/>
      <c r="K357" s="14"/>
      <c r="L357" s="14"/>
      <c r="M357" s="14"/>
    </row>
    <row r="358" spans="2:13" s="7" customFormat="1" ht="13.5">
      <c r="B358" s="30"/>
      <c r="C358" s="30"/>
      <c r="D358" s="31"/>
      <c r="E358" s="35"/>
      <c r="F358" s="130"/>
      <c r="G358" s="14"/>
      <c r="H358" s="14"/>
      <c r="I358" s="14"/>
      <c r="J358" s="14"/>
      <c r="K358" s="14"/>
      <c r="L358" s="14"/>
      <c r="M358" s="14"/>
    </row>
    <row r="359" spans="2:13" s="7" customFormat="1" ht="13.5">
      <c r="B359" s="30"/>
      <c r="C359" s="30"/>
      <c r="D359" s="31"/>
      <c r="E359" s="35"/>
      <c r="F359" s="130"/>
      <c r="G359" s="14"/>
      <c r="H359" s="14"/>
      <c r="I359" s="14"/>
      <c r="J359" s="14"/>
      <c r="K359" s="14"/>
      <c r="L359" s="14"/>
      <c r="M359" s="14"/>
    </row>
    <row r="360" spans="2:13" s="7" customFormat="1" ht="13.5">
      <c r="B360" s="30"/>
      <c r="C360" s="30"/>
      <c r="D360" s="31"/>
      <c r="E360" s="35"/>
      <c r="F360" s="130"/>
      <c r="G360" s="14"/>
      <c r="H360" s="14"/>
      <c r="I360" s="14"/>
      <c r="J360" s="14"/>
      <c r="K360" s="14"/>
      <c r="L360" s="14"/>
      <c r="M360" s="14"/>
    </row>
    <row r="361" spans="2:13" s="7" customFormat="1" ht="13.5">
      <c r="B361" s="30"/>
      <c r="C361" s="30"/>
      <c r="D361" s="31"/>
      <c r="E361" s="35"/>
      <c r="F361" s="130"/>
      <c r="G361" s="14"/>
      <c r="H361" s="14"/>
      <c r="I361" s="14"/>
      <c r="J361" s="14"/>
      <c r="K361" s="14"/>
      <c r="L361" s="14"/>
      <c r="M361" s="14"/>
    </row>
    <row r="362" spans="2:13" s="7" customFormat="1" ht="13.5">
      <c r="B362" s="30"/>
      <c r="C362" s="30"/>
      <c r="D362" s="31"/>
      <c r="E362" s="35"/>
      <c r="F362" s="130"/>
      <c r="G362" s="14"/>
      <c r="H362" s="14"/>
      <c r="I362" s="14"/>
      <c r="J362" s="14"/>
      <c r="K362" s="14"/>
      <c r="L362" s="14"/>
      <c r="M362" s="14"/>
    </row>
    <row r="363" spans="2:13" s="7" customFormat="1" ht="13.5">
      <c r="B363" s="30"/>
      <c r="C363" s="30"/>
      <c r="D363" s="31"/>
      <c r="E363" s="35"/>
      <c r="F363" s="130"/>
      <c r="G363" s="14"/>
      <c r="H363" s="14"/>
      <c r="I363" s="14"/>
      <c r="J363" s="14"/>
      <c r="K363" s="14"/>
      <c r="L363" s="14"/>
      <c r="M363" s="14"/>
    </row>
    <row r="364" spans="2:13" s="7" customFormat="1" ht="13.5">
      <c r="B364" s="30"/>
      <c r="C364" s="30"/>
      <c r="D364" s="31"/>
      <c r="E364" s="35"/>
      <c r="F364" s="130"/>
      <c r="G364" s="14"/>
      <c r="H364" s="14"/>
      <c r="I364" s="14"/>
      <c r="J364" s="14"/>
      <c r="K364" s="14"/>
      <c r="L364" s="14"/>
      <c r="M364" s="14"/>
    </row>
    <row r="365" spans="2:13" s="7" customFormat="1" ht="13.5">
      <c r="B365" s="30"/>
      <c r="C365" s="30"/>
      <c r="D365" s="31"/>
      <c r="E365" s="35"/>
      <c r="F365" s="130"/>
      <c r="G365" s="14"/>
      <c r="H365" s="14"/>
      <c r="I365" s="14"/>
      <c r="J365" s="14"/>
      <c r="K365" s="14"/>
      <c r="L365" s="14"/>
      <c r="M365" s="14"/>
    </row>
    <row r="366" spans="2:13" s="7" customFormat="1" ht="13.5">
      <c r="B366" s="30"/>
      <c r="C366" s="30"/>
      <c r="D366" s="31"/>
      <c r="E366" s="35"/>
      <c r="F366" s="130"/>
      <c r="G366" s="14"/>
      <c r="H366" s="14"/>
      <c r="I366" s="14"/>
      <c r="J366" s="14"/>
      <c r="K366" s="14"/>
      <c r="L366" s="14"/>
      <c r="M366" s="14"/>
    </row>
    <row r="367" spans="2:13" s="7" customFormat="1" ht="13.5">
      <c r="B367" s="30"/>
      <c r="C367" s="30"/>
      <c r="D367" s="31"/>
      <c r="E367" s="35"/>
      <c r="F367" s="130"/>
      <c r="G367" s="14"/>
      <c r="H367" s="14"/>
      <c r="I367" s="14"/>
      <c r="J367" s="14"/>
      <c r="K367" s="14"/>
      <c r="L367" s="14"/>
      <c r="M367" s="14"/>
    </row>
    <row r="368" spans="2:13" s="7" customFormat="1" ht="13.5">
      <c r="B368" s="30"/>
      <c r="C368" s="30"/>
      <c r="D368" s="31"/>
      <c r="E368" s="35"/>
      <c r="F368" s="130"/>
      <c r="G368" s="14"/>
      <c r="H368" s="14"/>
      <c r="I368" s="14"/>
      <c r="J368" s="14"/>
      <c r="K368" s="14"/>
      <c r="L368" s="14"/>
      <c r="M368" s="14"/>
    </row>
    <row r="369" spans="2:13" s="7" customFormat="1" ht="13.5">
      <c r="B369" s="30"/>
      <c r="C369" s="30"/>
      <c r="D369" s="31"/>
      <c r="E369" s="35"/>
      <c r="F369" s="130"/>
      <c r="G369" s="14"/>
      <c r="H369" s="14"/>
      <c r="I369" s="14"/>
      <c r="J369" s="14"/>
      <c r="K369" s="14"/>
      <c r="L369" s="14"/>
      <c r="M369" s="14"/>
    </row>
    <row r="370" spans="2:13" s="7" customFormat="1" ht="13.5">
      <c r="B370" s="30"/>
      <c r="C370" s="30"/>
      <c r="D370" s="31"/>
      <c r="E370" s="35"/>
      <c r="F370" s="130"/>
      <c r="G370" s="14"/>
      <c r="H370" s="14"/>
      <c r="I370" s="14"/>
      <c r="J370" s="14"/>
      <c r="K370" s="14"/>
      <c r="L370" s="14"/>
      <c r="M370" s="14"/>
    </row>
    <row r="371" spans="2:13" s="7" customFormat="1" ht="13.5">
      <c r="B371" s="30"/>
      <c r="C371" s="30"/>
      <c r="D371" s="31"/>
      <c r="E371" s="35"/>
      <c r="F371" s="130"/>
      <c r="G371" s="14"/>
      <c r="H371" s="14"/>
      <c r="I371" s="14"/>
      <c r="J371" s="14"/>
      <c r="K371" s="14"/>
      <c r="L371" s="14"/>
      <c r="M371" s="14"/>
    </row>
    <row r="372" spans="2:13" s="7" customFormat="1" ht="13.5">
      <c r="B372" s="30"/>
      <c r="C372" s="30"/>
      <c r="D372" s="31"/>
      <c r="E372" s="35"/>
      <c r="F372" s="130"/>
      <c r="G372" s="14"/>
      <c r="H372" s="14"/>
      <c r="I372" s="14"/>
      <c r="J372" s="14"/>
      <c r="K372" s="14"/>
      <c r="L372" s="14"/>
      <c r="M372" s="14"/>
    </row>
    <row r="373" spans="2:13" s="7" customFormat="1" ht="13.5">
      <c r="B373" s="30"/>
      <c r="C373" s="30"/>
      <c r="D373" s="31"/>
      <c r="E373" s="35"/>
      <c r="F373" s="130"/>
      <c r="G373" s="14"/>
      <c r="H373" s="14"/>
      <c r="I373" s="14"/>
      <c r="J373" s="14"/>
      <c r="K373" s="14"/>
      <c r="L373" s="14"/>
      <c r="M373" s="14"/>
    </row>
    <row r="374" spans="2:13" s="7" customFormat="1" ht="13.5">
      <c r="B374" s="30"/>
      <c r="C374" s="30"/>
      <c r="D374" s="31"/>
      <c r="E374" s="35"/>
      <c r="F374" s="130"/>
      <c r="G374" s="14"/>
      <c r="H374" s="14"/>
      <c r="I374" s="14"/>
      <c r="J374" s="14"/>
      <c r="K374" s="14"/>
      <c r="L374" s="14"/>
      <c r="M374" s="14"/>
    </row>
    <row r="375" spans="2:13" s="7" customFormat="1" ht="13.5">
      <c r="B375" s="30"/>
      <c r="C375" s="30"/>
      <c r="D375" s="31"/>
      <c r="E375" s="35"/>
      <c r="F375" s="130"/>
      <c r="G375" s="14"/>
      <c r="H375" s="14"/>
      <c r="I375" s="14"/>
      <c r="J375" s="14"/>
      <c r="K375" s="14"/>
      <c r="L375" s="14"/>
      <c r="M375" s="14"/>
    </row>
    <row r="376" spans="2:13" s="7" customFormat="1" ht="13.5">
      <c r="B376" s="30"/>
      <c r="C376" s="30"/>
      <c r="D376" s="31"/>
      <c r="E376" s="35"/>
      <c r="F376" s="130"/>
      <c r="G376" s="14"/>
      <c r="H376" s="14"/>
      <c r="I376" s="14"/>
      <c r="J376" s="14"/>
      <c r="K376" s="14"/>
      <c r="L376" s="14"/>
      <c r="M376" s="14"/>
    </row>
    <row r="377" spans="2:13" s="7" customFormat="1" ht="13.5">
      <c r="B377" s="30"/>
      <c r="C377" s="30"/>
      <c r="D377" s="31"/>
      <c r="E377" s="35"/>
      <c r="F377" s="130"/>
      <c r="G377" s="14"/>
      <c r="H377" s="14"/>
      <c r="I377" s="14"/>
      <c r="J377" s="14"/>
      <c r="K377" s="14"/>
      <c r="L377" s="14"/>
      <c r="M377" s="14"/>
    </row>
    <row r="378" spans="2:13" s="7" customFormat="1" ht="13.5">
      <c r="B378" s="30"/>
      <c r="C378" s="30"/>
      <c r="D378" s="31"/>
      <c r="E378" s="35"/>
      <c r="F378" s="130"/>
      <c r="G378" s="14"/>
      <c r="H378" s="14"/>
      <c r="I378" s="14"/>
      <c r="J378" s="14"/>
      <c r="K378" s="14"/>
      <c r="L378" s="14"/>
      <c r="M378" s="14"/>
    </row>
    <row r="379" spans="2:13" s="7" customFormat="1" ht="13.5">
      <c r="B379" s="30"/>
      <c r="C379" s="30"/>
      <c r="D379" s="31"/>
      <c r="E379" s="35"/>
      <c r="F379" s="130"/>
      <c r="G379" s="14"/>
      <c r="H379" s="14"/>
      <c r="I379" s="14"/>
      <c r="J379" s="14"/>
      <c r="K379" s="14"/>
      <c r="L379" s="14"/>
      <c r="M379" s="14"/>
    </row>
    <row r="380" spans="2:13" s="7" customFormat="1" ht="13.5">
      <c r="B380" s="30"/>
      <c r="C380" s="30"/>
      <c r="D380" s="31"/>
      <c r="E380" s="35"/>
      <c r="F380" s="130"/>
      <c r="G380" s="14"/>
      <c r="H380" s="14"/>
      <c r="I380" s="14"/>
      <c r="J380" s="14"/>
      <c r="K380" s="14"/>
      <c r="L380" s="14"/>
      <c r="M380" s="14"/>
    </row>
    <row r="381" spans="2:13" s="7" customFormat="1" ht="13.5">
      <c r="B381" s="30"/>
      <c r="C381" s="30"/>
      <c r="D381" s="31"/>
      <c r="E381" s="35"/>
      <c r="F381" s="130"/>
      <c r="G381" s="14"/>
      <c r="H381" s="14"/>
      <c r="I381" s="14"/>
      <c r="J381" s="14"/>
      <c r="K381" s="14"/>
      <c r="L381" s="14"/>
      <c r="M381" s="14"/>
    </row>
    <row r="382" spans="2:13" s="7" customFormat="1" ht="13.5">
      <c r="B382" s="30"/>
      <c r="C382" s="30"/>
      <c r="D382" s="31"/>
      <c r="E382" s="35"/>
      <c r="F382" s="130"/>
      <c r="G382" s="14"/>
      <c r="H382" s="14"/>
      <c r="I382" s="14"/>
      <c r="J382" s="14"/>
      <c r="K382" s="14"/>
      <c r="L382" s="14"/>
      <c r="M382" s="14"/>
    </row>
    <row r="383" spans="2:13" s="7" customFormat="1" ht="13.5">
      <c r="B383" s="30"/>
      <c r="C383" s="30"/>
      <c r="D383" s="31"/>
      <c r="E383" s="35"/>
      <c r="F383" s="130"/>
      <c r="G383" s="14"/>
      <c r="H383" s="14"/>
      <c r="I383" s="14"/>
      <c r="J383" s="14"/>
      <c r="K383" s="14"/>
      <c r="L383" s="14"/>
      <c r="M383" s="14"/>
    </row>
    <row r="384" spans="2:13" s="7" customFormat="1" ht="13.5">
      <c r="B384" s="30"/>
      <c r="C384" s="30"/>
      <c r="D384" s="31"/>
      <c r="E384" s="35"/>
      <c r="F384" s="130"/>
      <c r="G384" s="14"/>
      <c r="H384" s="14"/>
      <c r="I384" s="14"/>
      <c r="J384" s="14"/>
      <c r="K384" s="14"/>
      <c r="L384" s="14"/>
      <c r="M384" s="14"/>
    </row>
    <row r="385" spans="2:13" s="7" customFormat="1" ht="13.5">
      <c r="B385" s="30"/>
      <c r="C385" s="30"/>
      <c r="D385" s="31"/>
      <c r="E385" s="35"/>
      <c r="F385" s="130"/>
      <c r="G385" s="14"/>
      <c r="H385" s="14"/>
      <c r="I385" s="14"/>
      <c r="J385" s="14"/>
      <c r="K385" s="14"/>
      <c r="L385" s="14"/>
      <c r="M385" s="14"/>
    </row>
    <row r="386" spans="2:13" s="7" customFormat="1" ht="13.5">
      <c r="B386" s="30"/>
      <c r="C386" s="30"/>
      <c r="D386" s="31"/>
      <c r="E386" s="35"/>
      <c r="F386" s="130"/>
      <c r="G386" s="14"/>
      <c r="H386" s="14"/>
      <c r="I386" s="14"/>
      <c r="J386" s="14"/>
      <c r="K386" s="14"/>
      <c r="L386" s="14"/>
      <c r="M386" s="14"/>
    </row>
    <row r="387" spans="2:13" s="7" customFormat="1" ht="13.5">
      <c r="B387" s="30"/>
      <c r="C387" s="30"/>
      <c r="D387" s="31"/>
      <c r="E387" s="35"/>
      <c r="F387" s="130"/>
      <c r="G387" s="14"/>
      <c r="H387" s="14"/>
      <c r="I387" s="14"/>
      <c r="J387" s="14"/>
      <c r="K387" s="14"/>
      <c r="L387" s="14"/>
      <c r="M387" s="14"/>
    </row>
    <row r="388" spans="2:13" s="7" customFormat="1" ht="13.5">
      <c r="B388" s="30"/>
      <c r="C388" s="30"/>
      <c r="D388" s="31"/>
      <c r="E388" s="35"/>
      <c r="F388" s="130"/>
      <c r="G388" s="14"/>
      <c r="H388" s="14"/>
      <c r="I388" s="14"/>
      <c r="J388" s="14"/>
      <c r="K388" s="14"/>
      <c r="L388" s="14"/>
      <c r="M388" s="14"/>
    </row>
    <row r="389" spans="2:13" s="7" customFormat="1" ht="13.5">
      <c r="B389" s="30"/>
      <c r="C389" s="30"/>
      <c r="D389" s="31"/>
      <c r="E389" s="35"/>
      <c r="F389" s="130"/>
      <c r="G389" s="14"/>
      <c r="H389" s="14"/>
      <c r="I389" s="14"/>
      <c r="J389" s="14"/>
      <c r="K389" s="14"/>
      <c r="L389" s="14"/>
      <c r="M389" s="14"/>
    </row>
    <row r="390" spans="2:13" s="7" customFormat="1" ht="13.5">
      <c r="B390" s="30"/>
      <c r="C390" s="30"/>
      <c r="D390" s="31"/>
      <c r="E390" s="35"/>
      <c r="F390" s="130"/>
      <c r="G390" s="14"/>
      <c r="H390" s="14"/>
      <c r="I390" s="14"/>
      <c r="J390" s="14"/>
      <c r="K390" s="14"/>
      <c r="L390" s="14"/>
      <c r="M390" s="14"/>
    </row>
    <row r="391" spans="2:13" s="7" customFormat="1" ht="13.5">
      <c r="B391" s="30"/>
      <c r="C391" s="30"/>
      <c r="D391" s="31"/>
      <c r="E391" s="35"/>
      <c r="F391" s="130"/>
      <c r="G391" s="14"/>
      <c r="H391" s="14"/>
      <c r="I391" s="14"/>
      <c r="J391" s="14"/>
      <c r="K391" s="14"/>
      <c r="L391" s="14"/>
      <c r="M391" s="14"/>
    </row>
    <row r="392" spans="2:13" s="7" customFormat="1" ht="13.5">
      <c r="B392" s="30"/>
      <c r="C392" s="30"/>
      <c r="D392" s="31"/>
      <c r="E392" s="35"/>
      <c r="F392" s="130"/>
      <c r="G392" s="14"/>
      <c r="H392" s="14"/>
      <c r="I392" s="14"/>
      <c r="J392" s="14"/>
      <c r="K392" s="14"/>
      <c r="L392" s="14"/>
      <c r="M392" s="14"/>
    </row>
    <row r="393" spans="2:13" s="7" customFormat="1" ht="13.5">
      <c r="B393" s="30"/>
      <c r="C393" s="30"/>
      <c r="D393" s="31"/>
      <c r="E393" s="35"/>
      <c r="F393" s="130"/>
      <c r="G393" s="14"/>
      <c r="H393" s="14"/>
      <c r="I393" s="14"/>
      <c r="J393" s="14"/>
      <c r="K393" s="14"/>
      <c r="L393" s="14"/>
      <c r="M393" s="14"/>
    </row>
    <row r="394" spans="2:13" s="7" customFormat="1" ht="13.5">
      <c r="B394" s="30"/>
      <c r="C394" s="30"/>
      <c r="D394" s="31"/>
      <c r="E394" s="35"/>
      <c r="F394" s="130"/>
      <c r="G394" s="14"/>
      <c r="H394" s="14"/>
      <c r="I394" s="14"/>
      <c r="J394" s="14"/>
      <c r="K394" s="14"/>
      <c r="L394" s="14"/>
      <c r="M394" s="14"/>
    </row>
    <row r="395" spans="2:13" s="7" customFormat="1" ht="13.5">
      <c r="B395" s="30"/>
      <c r="C395" s="30"/>
      <c r="D395" s="31"/>
      <c r="E395" s="35"/>
      <c r="F395" s="130"/>
      <c r="G395" s="14"/>
      <c r="H395" s="14"/>
      <c r="I395" s="14"/>
      <c r="J395" s="14"/>
      <c r="K395" s="14"/>
      <c r="L395" s="14"/>
      <c r="M395" s="14"/>
    </row>
    <row r="396" spans="2:13" s="7" customFormat="1" ht="13.5">
      <c r="B396" s="30"/>
      <c r="C396" s="30"/>
      <c r="D396" s="31"/>
      <c r="E396" s="35"/>
      <c r="F396" s="130"/>
      <c r="G396" s="14"/>
      <c r="H396" s="14"/>
      <c r="I396" s="14"/>
      <c r="J396" s="14"/>
      <c r="K396" s="14"/>
      <c r="L396" s="14"/>
      <c r="M396" s="14"/>
    </row>
    <row r="397" spans="2:13" s="7" customFormat="1" ht="13.5">
      <c r="B397" s="30"/>
      <c r="C397" s="30"/>
      <c r="D397" s="31"/>
      <c r="E397" s="35"/>
      <c r="F397" s="130"/>
      <c r="G397" s="14"/>
      <c r="H397" s="14"/>
      <c r="I397" s="14"/>
      <c r="J397" s="14"/>
      <c r="K397" s="14"/>
      <c r="L397" s="14"/>
      <c r="M397" s="14"/>
    </row>
    <row r="398" spans="2:13" s="7" customFormat="1" ht="13.5">
      <c r="B398" s="30"/>
      <c r="C398" s="30"/>
      <c r="D398" s="31"/>
      <c r="E398" s="35"/>
      <c r="F398" s="130"/>
      <c r="G398" s="14"/>
      <c r="H398" s="14"/>
      <c r="I398" s="14"/>
      <c r="J398" s="14"/>
      <c r="K398" s="14"/>
      <c r="L398" s="14"/>
      <c r="M398" s="14"/>
    </row>
    <row r="399" spans="2:13" s="7" customFormat="1" ht="13.5">
      <c r="B399" s="30"/>
      <c r="C399" s="30"/>
      <c r="D399" s="31"/>
      <c r="E399" s="35"/>
      <c r="F399" s="130"/>
      <c r="G399" s="14"/>
      <c r="H399" s="14"/>
      <c r="I399" s="14"/>
      <c r="J399" s="14"/>
      <c r="K399" s="14"/>
      <c r="L399" s="14"/>
      <c r="M399" s="14"/>
    </row>
    <row r="400" spans="2:13" s="7" customFormat="1" ht="13.5">
      <c r="B400" s="30"/>
      <c r="C400" s="30"/>
      <c r="D400" s="31"/>
      <c r="E400" s="35"/>
      <c r="F400" s="130"/>
      <c r="G400" s="14"/>
      <c r="H400" s="14"/>
      <c r="I400" s="14"/>
      <c r="J400" s="14"/>
      <c r="K400" s="14"/>
      <c r="L400" s="14"/>
      <c r="M400" s="14"/>
    </row>
    <row r="401" spans="2:13" s="7" customFormat="1" ht="13.5">
      <c r="B401" s="30"/>
      <c r="C401" s="30"/>
      <c r="D401" s="31"/>
      <c r="E401" s="35"/>
      <c r="F401" s="130"/>
      <c r="G401" s="14"/>
      <c r="H401" s="14"/>
      <c r="I401" s="14"/>
      <c r="J401" s="14"/>
      <c r="K401" s="14"/>
      <c r="L401" s="14"/>
      <c r="M401" s="14"/>
    </row>
    <row r="402" spans="2:13" s="7" customFormat="1" ht="13.5">
      <c r="B402" s="30"/>
      <c r="C402" s="30"/>
      <c r="D402" s="31"/>
      <c r="E402" s="35"/>
      <c r="F402" s="130"/>
      <c r="G402" s="14"/>
      <c r="H402" s="14"/>
      <c r="I402" s="14"/>
      <c r="J402" s="14"/>
      <c r="K402" s="14"/>
      <c r="L402" s="14"/>
      <c r="M402" s="14"/>
    </row>
    <row r="403" spans="2:13" s="7" customFormat="1" ht="13.5">
      <c r="B403" s="30"/>
      <c r="C403" s="30"/>
      <c r="D403" s="31"/>
      <c r="E403" s="35"/>
      <c r="F403" s="130"/>
      <c r="G403" s="14"/>
      <c r="H403" s="14"/>
      <c r="I403" s="14"/>
      <c r="J403" s="14"/>
      <c r="K403" s="14"/>
      <c r="L403" s="14"/>
      <c r="M403" s="14"/>
    </row>
    <row r="404" spans="2:13" s="7" customFormat="1" ht="13.5">
      <c r="B404" s="30"/>
      <c r="C404" s="30"/>
      <c r="D404" s="31"/>
      <c r="E404" s="35"/>
      <c r="F404" s="130"/>
      <c r="G404" s="14"/>
      <c r="H404" s="14"/>
      <c r="I404" s="14"/>
      <c r="J404" s="14"/>
      <c r="K404" s="14"/>
      <c r="L404" s="14"/>
      <c r="M404" s="14"/>
    </row>
    <row r="405" spans="2:13" s="7" customFormat="1" ht="13.5">
      <c r="B405" s="30"/>
      <c r="C405" s="30"/>
      <c r="D405" s="31"/>
      <c r="E405" s="35"/>
      <c r="F405" s="130"/>
      <c r="G405" s="14"/>
      <c r="H405" s="14"/>
      <c r="I405" s="14"/>
      <c r="J405" s="14"/>
      <c r="K405" s="14"/>
      <c r="L405" s="14"/>
      <c r="M405" s="14"/>
    </row>
    <row r="406" spans="2:13" s="7" customFormat="1" ht="13.5">
      <c r="B406" s="30"/>
      <c r="C406" s="30"/>
      <c r="D406" s="31"/>
      <c r="E406" s="35"/>
      <c r="F406" s="130"/>
      <c r="G406" s="14"/>
      <c r="H406" s="14"/>
      <c r="I406" s="14"/>
      <c r="J406" s="14"/>
      <c r="K406" s="14"/>
      <c r="L406" s="14"/>
      <c r="M406" s="14"/>
    </row>
    <row r="407" spans="2:13" s="7" customFormat="1" ht="13.5">
      <c r="B407" s="30"/>
      <c r="C407" s="30"/>
      <c r="D407" s="31"/>
      <c r="E407" s="35"/>
      <c r="F407" s="130"/>
      <c r="G407" s="14"/>
      <c r="H407" s="14"/>
      <c r="I407" s="14"/>
      <c r="J407" s="14"/>
      <c r="K407" s="14"/>
      <c r="L407" s="14"/>
      <c r="M407" s="14"/>
    </row>
    <row r="408" spans="2:13" s="7" customFormat="1" ht="13.5">
      <c r="B408" s="30"/>
      <c r="C408" s="30"/>
      <c r="D408" s="31"/>
      <c r="E408" s="35"/>
      <c r="F408" s="130"/>
      <c r="G408" s="14"/>
      <c r="H408" s="14"/>
      <c r="I408" s="14"/>
      <c r="J408" s="14"/>
      <c r="K408" s="14"/>
      <c r="L408" s="14"/>
      <c r="M408" s="14"/>
    </row>
    <row r="409" spans="2:13" s="7" customFormat="1" ht="13.5">
      <c r="B409" s="30"/>
      <c r="C409" s="30"/>
      <c r="D409" s="31"/>
      <c r="E409" s="35"/>
      <c r="F409" s="130"/>
      <c r="G409" s="14"/>
      <c r="H409" s="14"/>
      <c r="I409" s="14"/>
      <c r="J409" s="14"/>
      <c r="K409" s="14"/>
      <c r="L409" s="14"/>
      <c r="M409" s="14"/>
    </row>
    <row r="410" spans="2:13" s="7" customFormat="1" ht="13.5">
      <c r="B410" s="30"/>
      <c r="C410" s="30"/>
      <c r="D410" s="31"/>
      <c r="E410" s="35"/>
      <c r="F410" s="130"/>
      <c r="G410" s="14"/>
      <c r="H410" s="14"/>
      <c r="I410" s="14"/>
      <c r="J410" s="14"/>
      <c r="K410" s="14"/>
      <c r="L410" s="14"/>
      <c r="M410" s="14"/>
    </row>
    <row r="411" spans="2:13" s="7" customFormat="1" ht="13.5">
      <c r="B411" s="30"/>
      <c r="C411" s="30"/>
      <c r="D411" s="31"/>
      <c r="E411" s="35"/>
      <c r="F411" s="130"/>
      <c r="G411" s="14"/>
      <c r="H411" s="14"/>
      <c r="I411" s="14"/>
      <c r="J411" s="14"/>
      <c r="K411" s="14"/>
      <c r="L411" s="14"/>
      <c r="M411" s="14"/>
    </row>
    <row r="412" spans="2:13" s="7" customFormat="1" ht="13.5">
      <c r="B412" s="30"/>
      <c r="C412" s="30"/>
      <c r="D412" s="31"/>
      <c r="E412" s="35"/>
      <c r="F412" s="130"/>
      <c r="G412" s="14"/>
      <c r="H412" s="14"/>
      <c r="I412" s="14"/>
      <c r="J412" s="14"/>
      <c r="K412" s="14"/>
      <c r="L412" s="14"/>
      <c r="M412" s="14"/>
    </row>
    <row r="413" spans="2:13" s="7" customFormat="1" ht="13.5">
      <c r="B413" s="30"/>
      <c r="C413" s="30"/>
      <c r="D413" s="31"/>
      <c r="E413" s="35"/>
      <c r="F413" s="130"/>
      <c r="G413" s="14"/>
      <c r="H413" s="14"/>
      <c r="I413" s="14"/>
      <c r="J413" s="14"/>
      <c r="K413" s="14"/>
      <c r="L413" s="14"/>
      <c r="M413" s="14"/>
    </row>
    <row r="414" spans="2:13" s="7" customFormat="1" ht="13.5">
      <c r="B414" s="30"/>
      <c r="C414" s="30"/>
      <c r="D414" s="31"/>
      <c r="E414" s="35"/>
      <c r="F414" s="130"/>
      <c r="G414" s="14"/>
      <c r="H414" s="14"/>
      <c r="I414" s="14"/>
      <c r="J414" s="14"/>
      <c r="K414" s="14"/>
      <c r="L414" s="14"/>
      <c r="M414" s="14"/>
    </row>
    <row r="415" spans="2:13" s="7" customFormat="1" ht="13.5">
      <c r="B415" s="30"/>
      <c r="C415" s="30"/>
      <c r="D415" s="31"/>
      <c r="E415" s="35"/>
      <c r="F415" s="130"/>
      <c r="G415" s="14"/>
      <c r="H415" s="14"/>
      <c r="I415" s="14"/>
      <c r="J415" s="14"/>
      <c r="K415" s="14"/>
      <c r="L415" s="14"/>
      <c r="M415" s="14"/>
    </row>
    <row r="416" spans="2:13" s="7" customFormat="1" ht="13.5">
      <c r="B416" s="30"/>
      <c r="C416" s="30"/>
      <c r="D416" s="31"/>
      <c r="E416" s="35"/>
      <c r="F416" s="130"/>
      <c r="G416" s="14"/>
      <c r="H416" s="14"/>
      <c r="I416" s="14"/>
      <c r="J416" s="14"/>
      <c r="K416" s="14"/>
      <c r="L416" s="14"/>
      <c r="M416" s="14"/>
    </row>
    <row r="417" spans="2:13" s="7" customFormat="1" ht="13.5">
      <c r="B417" s="30"/>
      <c r="C417" s="30"/>
      <c r="D417" s="31"/>
      <c r="E417" s="35"/>
      <c r="F417" s="130"/>
      <c r="G417" s="14"/>
      <c r="H417" s="14"/>
      <c r="I417" s="14"/>
      <c r="J417" s="14"/>
      <c r="K417" s="14"/>
      <c r="L417" s="14"/>
      <c r="M417" s="14"/>
    </row>
    <row r="418" spans="2:13" s="7" customFormat="1" ht="13.5">
      <c r="B418" s="30"/>
      <c r="C418" s="30"/>
      <c r="D418" s="31"/>
      <c r="E418" s="35"/>
      <c r="F418" s="130"/>
      <c r="G418" s="14"/>
      <c r="H418" s="14"/>
      <c r="I418" s="14"/>
      <c r="J418" s="14"/>
      <c r="K418" s="14"/>
      <c r="L418" s="14"/>
      <c r="M418" s="14"/>
    </row>
    <row r="419" spans="2:13" s="7" customFormat="1" ht="13.5">
      <c r="B419" s="30"/>
      <c r="C419" s="30"/>
      <c r="D419" s="31"/>
      <c r="E419" s="35"/>
      <c r="F419" s="130"/>
      <c r="G419" s="14"/>
      <c r="H419" s="14"/>
      <c r="I419" s="14"/>
      <c r="J419" s="14"/>
      <c r="K419" s="14"/>
      <c r="L419" s="14"/>
      <c r="M419" s="14"/>
    </row>
    <row r="420" spans="2:13" s="7" customFormat="1" ht="13.5">
      <c r="B420" s="30"/>
      <c r="C420" s="30"/>
      <c r="D420" s="31"/>
      <c r="E420" s="35"/>
      <c r="F420" s="130"/>
      <c r="G420" s="14"/>
      <c r="H420" s="14"/>
      <c r="I420" s="14"/>
      <c r="J420" s="14"/>
      <c r="K420" s="14"/>
      <c r="L420" s="14"/>
      <c r="M420" s="14"/>
    </row>
    <row r="421" spans="2:13" s="7" customFormat="1" ht="13.5">
      <c r="B421" s="30"/>
      <c r="C421" s="30"/>
      <c r="D421" s="31"/>
      <c r="E421" s="35"/>
      <c r="F421" s="130"/>
      <c r="G421" s="14"/>
      <c r="H421" s="14"/>
      <c r="I421" s="14"/>
      <c r="J421" s="14"/>
      <c r="K421" s="14"/>
      <c r="L421" s="14"/>
      <c r="M421" s="14"/>
    </row>
    <row r="422" spans="2:13" s="7" customFormat="1" ht="13.5">
      <c r="B422" s="30"/>
      <c r="C422" s="30"/>
      <c r="D422" s="31"/>
      <c r="E422" s="35"/>
      <c r="F422" s="130"/>
      <c r="G422" s="14"/>
      <c r="H422" s="14"/>
      <c r="I422" s="14"/>
      <c r="J422" s="14"/>
      <c r="K422" s="14"/>
      <c r="L422" s="14"/>
      <c r="M422" s="14"/>
    </row>
    <row r="423" spans="2:13" s="7" customFormat="1" ht="13.5">
      <c r="B423" s="30"/>
      <c r="C423" s="30"/>
      <c r="D423" s="31"/>
      <c r="E423" s="35"/>
      <c r="F423" s="130"/>
      <c r="G423" s="14"/>
      <c r="H423" s="14"/>
      <c r="I423" s="14"/>
      <c r="J423" s="14"/>
      <c r="K423" s="14"/>
      <c r="L423" s="14"/>
      <c r="M423" s="14"/>
    </row>
    <row r="424" spans="2:13" s="7" customFormat="1" ht="13.5">
      <c r="B424" s="30"/>
      <c r="C424" s="30"/>
      <c r="D424" s="31"/>
      <c r="E424" s="35"/>
      <c r="F424" s="130"/>
      <c r="G424" s="14"/>
      <c r="H424" s="14"/>
      <c r="I424" s="14"/>
      <c r="J424" s="14"/>
      <c r="K424" s="14"/>
      <c r="L424" s="14"/>
      <c r="M424" s="14"/>
    </row>
    <row r="425" spans="2:13" s="7" customFormat="1" ht="13.5">
      <c r="B425" s="30"/>
      <c r="C425" s="30"/>
      <c r="D425" s="31"/>
      <c r="E425" s="35"/>
      <c r="F425" s="130"/>
      <c r="G425" s="14"/>
      <c r="H425" s="14"/>
      <c r="I425" s="14"/>
      <c r="J425" s="14"/>
      <c r="K425" s="14"/>
      <c r="L425" s="14"/>
      <c r="M425" s="14"/>
    </row>
    <row r="426" spans="2:13" s="7" customFormat="1" ht="13.5">
      <c r="B426" s="30"/>
      <c r="C426" s="30"/>
      <c r="D426" s="31"/>
      <c r="E426" s="35"/>
      <c r="F426" s="130"/>
      <c r="G426" s="14"/>
      <c r="H426" s="14"/>
      <c r="I426" s="14"/>
      <c r="J426" s="14"/>
      <c r="K426" s="14"/>
      <c r="L426" s="14"/>
      <c r="M426" s="14"/>
    </row>
    <row r="427" spans="2:13" s="7" customFormat="1" ht="13.5">
      <c r="B427" s="30"/>
      <c r="C427" s="30"/>
      <c r="D427" s="31"/>
      <c r="E427" s="35"/>
      <c r="F427" s="130"/>
      <c r="G427" s="14"/>
      <c r="H427" s="14"/>
      <c r="I427" s="14"/>
      <c r="J427" s="14"/>
      <c r="K427" s="14"/>
      <c r="L427" s="14"/>
      <c r="M427" s="14"/>
    </row>
    <row r="428" spans="2:13" s="7" customFormat="1" ht="13.5">
      <c r="B428" s="30"/>
      <c r="C428" s="30"/>
      <c r="D428" s="31"/>
      <c r="E428" s="35"/>
      <c r="F428" s="130"/>
      <c r="G428" s="14"/>
      <c r="H428" s="14"/>
      <c r="I428" s="14"/>
      <c r="J428" s="14"/>
      <c r="K428" s="14"/>
      <c r="L428" s="14"/>
      <c r="M428" s="14"/>
    </row>
    <row r="429" spans="2:13" s="7" customFormat="1" ht="13.5">
      <c r="B429" s="30"/>
      <c r="C429" s="30"/>
      <c r="D429" s="31"/>
      <c r="E429" s="35"/>
      <c r="F429" s="130"/>
      <c r="G429" s="14"/>
      <c r="H429" s="14"/>
      <c r="I429" s="14"/>
      <c r="J429" s="14"/>
      <c r="K429" s="14"/>
      <c r="L429" s="14"/>
      <c r="M429" s="14"/>
    </row>
    <row r="430" spans="2:13" s="7" customFormat="1" ht="13.5">
      <c r="B430" s="30"/>
      <c r="C430" s="30"/>
      <c r="D430" s="31"/>
      <c r="E430" s="35"/>
      <c r="F430" s="130"/>
      <c r="G430" s="14"/>
      <c r="H430" s="14"/>
      <c r="I430" s="14"/>
      <c r="J430" s="14"/>
      <c r="K430" s="14"/>
      <c r="L430" s="14"/>
      <c r="M430" s="14"/>
    </row>
    <row r="431" spans="2:13" s="7" customFormat="1" ht="13.5">
      <c r="B431" s="30"/>
      <c r="C431" s="30"/>
      <c r="D431" s="31"/>
      <c r="E431" s="35"/>
      <c r="F431" s="130"/>
      <c r="G431" s="14"/>
      <c r="H431" s="14"/>
      <c r="I431" s="14"/>
      <c r="J431" s="14"/>
      <c r="K431" s="14"/>
      <c r="L431" s="14"/>
      <c r="M431" s="14"/>
    </row>
    <row r="432" spans="2:13" s="7" customFormat="1" ht="13.5">
      <c r="B432" s="30"/>
      <c r="C432" s="30"/>
      <c r="D432" s="31"/>
      <c r="E432" s="35"/>
      <c r="F432" s="130"/>
      <c r="G432" s="14"/>
      <c r="H432" s="14"/>
      <c r="I432" s="14"/>
      <c r="J432" s="14"/>
      <c r="K432" s="14"/>
      <c r="L432" s="14"/>
      <c r="M432" s="14"/>
    </row>
    <row r="433" spans="2:13" s="7" customFormat="1" ht="13.5">
      <c r="B433" s="30"/>
      <c r="C433" s="30"/>
      <c r="D433" s="31"/>
      <c r="E433" s="35"/>
      <c r="F433" s="130"/>
      <c r="G433" s="14"/>
      <c r="H433" s="14"/>
      <c r="I433" s="14"/>
      <c r="J433" s="14"/>
      <c r="K433" s="14"/>
      <c r="L433" s="14"/>
      <c r="M433" s="14"/>
    </row>
    <row r="434" spans="2:13" s="7" customFormat="1" ht="13.5">
      <c r="B434" s="30"/>
      <c r="C434" s="30"/>
      <c r="D434" s="31"/>
      <c r="E434" s="35"/>
      <c r="F434" s="130"/>
      <c r="G434" s="14"/>
      <c r="H434" s="14"/>
      <c r="I434" s="14"/>
      <c r="J434" s="14"/>
      <c r="K434" s="14"/>
      <c r="L434" s="14"/>
      <c r="M434" s="14"/>
    </row>
    <row r="435" spans="2:13" s="7" customFormat="1" ht="13.5">
      <c r="B435" s="30"/>
      <c r="C435" s="30"/>
      <c r="D435" s="31"/>
      <c r="E435" s="35"/>
      <c r="F435" s="130"/>
      <c r="G435" s="14"/>
      <c r="H435" s="14"/>
      <c r="I435" s="14"/>
      <c r="J435" s="14"/>
      <c r="K435" s="14"/>
      <c r="L435" s="14"/>
      <c r="M435" s="14"/>
    </row>
    <row r="436" spans="2:13" s="7" customFormat="1" ht="13.5">
      <c r="B436" s="30"/>
      <c r="C436" s="30"/>
      <c r="D436" s="31"/>
      <c r="E436" s="35"/>
      <c r="F436" s="130"/>
      <c r="G436" s="14"/>
      <c r="H436" s="14"/>
      <c r="I436" s="14"/>
      <c r="J436" s="14"/>
      <c r="K436" s="14"/>
      <c r="L436" s="14"/>
      <c r="M436" s="14"/>
    </row>
    <row r="437" spans="2:13" s="7" customFormat="1" ht="13.5">
      <c r="B437" s="30"/>
      <c r="C437" s="30"/>
      <c r="D437" s="31"/>
      <c r="E437" s="35"/>
      <c r="F437" s="130"/>
      <c r="G437" s="14"/>
      <c r="H437" s="14"/>
      <c r="I437" s="14"/>
      <c r="J437" s="14"/>
      <c r="K437" s="14"/>
      <c r="L437" s="14"/>
      <c r="M437" s="14"/>
    </row>
    <row r="438" spans="2:13" s="7" customFormat="1" ht="13.5">
      <c r="B438" s="30"/>
      <c r="C438" s="30"/>
      <c r="D438" s="31"/>
      <c r="E438" s="35"/>
      <c r="F438" s="130"/>
      <c r="G438" s="14"/>
      <c r="H438" s="14"/>
      <c r="I438" s="14"/>
      <c r="J438" s="14"/>
      <c r="K438" s="14"/>
      <c r="L438" s="14"/>
      <c r="M438" s="14"/>
    </row>
    <row r="439" spans="2:13" s="7" customFormat="1" ht="13.5">
      <c r="B439" s="30"/>
      <c r="C439" s="30"/>
      <c r="D439" s="31"/>
      <c r="E439" s="35"/>
      <c r="F439" s="130"/>
      <c r="G439" s="14"/>
      <c r="H439" s="14"/>
      <c r="I439" s="14"/>
      <c r="J439" s="14"/>
      <c r="K439" s="14"/>
      <c r="L439" s="14"/>
      <c r="M439" s="14"/>
    </row>
    <row r="440" spans="2:13" s="7" customFormat="1" ht="13.5">
      <c r="B440" s="30"/>
      <c r="C440" s="30"/>
      <c r="D440" s="31"/>
      <c r="E440" s="35"/>
      <c r="F440" s="130"/>
      <c r="G440" s="14"/>
      <c r="H440" s="14"/>
      <c r="I440" s="14"/>
      <c r="J440" s="14"/>
      <c r="K440" s="14"/>
      <c r="L440" s="14"/>
      <c r="M440" s="14"/>
    </row>
    <row r="441" spans="2:13" s="7" customFormat="1" ht="13.5">
      <c r="B441" s="30"/>
      <c r="C441" s="30"/>
      <c r="D441" s="31"/>
      <c r="E441" s="35"/>
      <c r="F441" s="130"/>
      <c r="G441" s="14"/>
      <c r="H441" s="14"/>
      <c r="I441" s="14"/>
      <c r="J441" s="14"/>
      <c r="K441" s="14"/>
      <c r="L441" s="14"/>
      <c r="M441" s="14"/>
    </row>
    <row r="442" spans="2:13" s="7" customFormat="1" ht="13.5">
      <c r="B442" s="30"/>
      <c r="C442" s="30"/>
      <c r="D442" s="31"/>
      <c r="E442" s="35"/>
      <c r="F442" s="130"/>
      <c r="G442" s="14"/>
      <c r="H442" s="14"/>
      <c r="I442" s="14"/>
      <c r="J442" s="14"/>
      <c r="K442" s="14"/>
      <c r="L442" s="14"/>
      <c r="M442" s="14"/>
    </row>
    <row r="443" spans="2:13" s="7" customFormat="1" ht="13.5">
      <c r="B443" s="30"/>
      <c r="C443" s="30"/>
      <c r="D443" s="31"/>
      <c r="E443" s="35"/>
      <c r="F443" s="130"/>
      <c r="G443" s="14"/>
      <c r="H443" s="14"/>
      <c r="I443" s="14"/>
      <c r="J443" s="14"/>
      <c r="K443" s="14"/>
      <c r="L443" s="14"/>
      <c r="M443" s="14"/>
    </row>
    <row r="444" spans="2:13" s="7" customFormat="1" ht="13.5">
      <c r="B444" s="30"/>
      <c r="C444" s="30"/>
      <c r="D444" s="31"/>
      <c r="E444" s="35"/>
      <c r="F444" s="130"/>
      <c r="G444" s="14"/>
      <c r="H444" s="14"/>
      <c r="I444" s="14"/>
      <c r="J444" s="14"/>
      <c r="K444" s="14"/>
      <c r="L444" s="14"/>
      <c r="M444" s="14"/>
    </row>
    <row r="445" spans="2:13" s="7" customFormat="1" ht="13.5">
      <c r="B445" s="30"/>
      <c r="C445" s="30"/>
      <c r="D445" s="31"/>
      <c r="E445" s="35"/>
      <c r="F445" s="130"/>
      <c r="G445" s="14"/>
      <c r="H445" s="14"/>
      <c r="I445" s="14"/>
      <c r="J445" s="14"/>
      <c r="K445" s="14"/>
      <c r="L445" s="14"/>
      <c r="M445" s="14"/>
    </row>
    <row r="446" spans="2:13" s="7" customFormat="1" ht="13.5">
      <c r="B446" s="30"/>
      <c r="C446" s="30"/>
      <c r="D446" s="31"/>
      <c r="E446" s="35"/>
      <c r="F446" s="130"/>
      <c r="G446" s="14"/>
      <c r="H446" s="14"/>
      <c r="I446" s="14"/>
      <c r="J446" s="14"/>
      <c r="K446" s="14"/>
      <c r="L446" s="14"/>
      <c r="M446" s="14"/>
    </row>
    <row r="447" spans="2:13" s="7" customFormat="1" ht="13.5">
      <c r="B447" s="30"/>
      <c r="C447" s="30"/>
      <c r="D447" s="31"/>
      <c r="E447" s="35"/>
      <c r="F447" s="130"/>
      <c r="G447" s="14"/>
      <c r="H447" s="14"/>
      <c r="I447" s="14"/>
      <c r="J447" s="14"/>
      <c r="K447" s="14"/>
      <c r="L447" s="14"/>
      <c r="M447" s="14"/>
    </row>
    <row r="448" spans="2:13" s="7" customFormat="1" ht="13.5">
      <c r="B448" s="30"/>
      <c r="C448" s="30"/>
      <c r="D448" s="31"/>
      <c r="E448" s="35"/>
      <c r="F448" s="130"/>
      <c r="G448" s="14"/>
      <c r="H448" s="14"/>
      <c r="I448" s="14"/>
      <c r="J448" s="14"/>
      <c r="K448" s="14"/>
      <c r="L448" s="14"/>
      <c r="M448" s="14"/>
    </row>
    <row r="449" spans="2:13" s="7" customFormat="1" ht="13.5">
      <c r="B449" s="30"/>
      <c r="C449" s="30"/>
      <c r="D449" s="31"/>
      <c r="E449" s="35"/>
      <c r="F449" s="130"/>
      <c r="G449" s="14"/>
      <c r="H449" s="14"/>
      <c r="I449" s="14"/>
      <c r="J449" s="14"/>
      <c r="K449" s="14"/>
      <c r="L449" s="14"/>
      <c r="M449" s="14"/>
    </row>
    <row r="450" spans="2:13" s="7" customFormat="1" ht="13.5">
      <c r="B450" s="30"/>
      <c r="C450" s="30"/>
      <c r="D450" s="31"/>
      <c r="E450" s="35"/>
      <c r="F450" s="130"/>
      <c r="G450" s="14"/>
      <c r="H450" s="14"/>
      <c r="I450" s="14"/>
      <c r="J450" s="14"/>
      <c r="K450" s="14"/>
      <c r="L450" s="14"/>
      <c r="M450" s="14"/>
    </row>
    <row r="451" spans="2:13" s="7" customFormat="1" ht="13.5">
      <c r="B451" s="30"/>
      <c r="C451" s="30"/>
      <c r="D451" s="31"/>
      <c r="E451" s="35"/>
      <c r="F451" s="130"/>
      <c r="G451" s="14"/>
      <c r="H451" s="14"/>
      <c r="I451" s="14"/>
      <c r="J451" s="14"/>
      <c r="K451" s="14"/>
      <c r="L451" s="14"/>
      <c r="M451" s="14"/>
    </row>
    <row r="452" spans="2:13" s="7" customFormat="1" ht="13.5">
      <c r="B452" s="30"/>
      <c r="C452" s="30"/>
      <c r="D452" s="31"/>
      <c r="E452" s="35"/>
      <c r="F452" s="130"/>
      <c r="G452" s="14"/>
      <c r="H452" s="14"/>
      <c r="I452" s="14"/>
      <c r="J452" s="14"/>
      <c r="K452" s="14"/>
      <c r="L452" s="14"/>
      <c r="M452" s="14"/>
    </row>
    <row r="453" spans="2:13" s="7" customFormat="1" ht="13.5">
      <c r="B453" s="30"/>
      <c r="C453" s="30"/>
      <c r="D453" s="31"/>
      <c r="E453" s="35"/>
      <c r="F453" s="130"/>
      <c r="G453" s="14"/>
      <c r="H453" s="14"/>
      <c r="I453" s="14"/>
      <c r="J453" s="14"/>
      <c r="K453" s="14"/>
      <c r="L453" s="14"/>
      <c r="M453" s="14"/>
    </row>
    <row r="454" spans="2:13" s="7" customFormat="1" ht="13.5">
      <c r="B454" s="30"/>
      <c r="C454" s="30"/>
      <c r="D454" s="31"/>
      <c r="E454" s="35"/>
      <c r="F454" s="130"/>
      <c r="G454" s="14"/>
      <c r="H454" s="14"/>
      <c r="I454" s="14"/>
      <c r="J454" s="14"/>
      <c r="K454" s="14"/>
      <c r="L454" s="14"/>
      <c r="M454" s="14"/>
    </row>
    <row r="455" spans="2:13" s="7" customFormat="1" ht="13.5">
      <c r="B455" s="30"/>
      <c r="C455" s="30"/>
      <c r="D455" s="31"/>
      <c r="E455" s="35"/>
      <c r="F455" s="130"/>
      <c r="G455" s="14"/>
      <c r="H455" s="14"/>
      <c r="I455" s="14"/>
      <c r="J455" s="14"/>
      <c r="K455" s="14"/>
      <c r="L455" s="14"/>
      <c r="M455" s="14"/>
    </row>
    <row r="456" spans="2:13" s="7" customFormat="1" ht="13.5">
      <c r="B456" s="30"/>
      <c r="C456" s="30"/>
      <c r="D456" s="31"/>
      <c r="E456" s="35"/>
      <c r="F456" s="130"/>
      <c r="G456" s="14"/>
      <c r="H456" s="14"/>
      <c r="I456" s="14"/>
      <c r="J456" s="14"/>
      <c r="K456" s="14"/>
      <c r="L456" s="14"/>
      <c r="M456" s="14"/>
    </row>
    <row r="457" spans="2:13" s="7" customFormat="1" ht="13.5">
      <c r="B457" s="30"/>
      <c r="C457" s="30"/>
      <c r="D457" s="31"/>
      <c r="E457" s="35"/>
      <c r="F457" s="130"/>
      <c r="G457" s="14"/>
      <c r="H457" s="14"/>
      <c r="I457" s="14"/>
      <c r="J457" s="14"/>
      <c r="K457" s="14"/>
      <c r="L457" s="14"/>
      <c r="M457" s="14"/>
    </row>
    <row r="458" spans="2:13" s="7" customFormat="1" ht="13.5">
      <c r="B458" s="30"/>
      <c r="C458" s="30"/>
      <c r="D458" s="31"/>
      <c r="E458" s="35"/>
      <c r="F458" s="130"/>
      <c r="G458" s="14"/>
      <c r="H458" s="14"/>
      <c r="I458" s="14"/>
      <c r="J458" s="14"/>
      <c r="K458" s="14"/>
      <c r="L458" s="14"/>
      <c r="M458" s="14"/>
    </row>
    <row r="459" spans="2:13" s="7" customFormat="1" ht="13.5">
      <c r="B459" s="30"/>
      <c r="C459" s="30"/>
      <c r="D459" s="31"/>
      <c r="E459" s="35"/>
      <c r="F459" s="130"/>
      <c r="G459" s="14"/>
      <c r="H459" s="14"/>
      <c r="I459" s="14"/>
      <c r="J459" s="14"/>
      <c r="K459" s="14"/>
      <c r="L459" s="14"/>
      <c r="M459" s="14"/>
    </row>
    <row r="460" spans="2:13" s="7" customFormat="1" ht="13.5">
      <c r="B460" s="30"/>
      <c r="C460" s="30"/>
      <c r="D460" s="31"/>
      <c r="E460" s="35"/>
      <c r="F460" s="130"/>
      <c r="G460" s="14"/>
      <c r="H460" s="14"/>
      <c r="I460" s="14"/>
      <c r="J460" s="14"/>
      <c r="K460" s="14"/>
      <c r="L460" s="14"/>
      <c r="M460" s="14"/>
    </row>
    <row r="461" spans="2:13" s="7" customFormat="1" ht="13.5">
      <c r="B461" s="30"/>
      <c r="C461" s="30"/>
      <c r="D461" s="31"/>
      <c r="E461" s="35"/>
      <c r="F461" s="130"/>
      <c r="G461" s="14"/>
      <c r="H461" s="14"/>
      <c r="I461" s="14"/>
      <c r="J461" s="14"/>
      <c r="K461" s="14"/>
      <c r="L461" s="14"/>
      <c r="M461" s="14"/>
    </row>
    <row r="462" spans="2:13" s="7" customFormat="1" ht="13.5">
      <c r="B462" s="30"/>
      <c r="C462" s="30"/>
      <c r="D462" s="31"/>
      <c r="E462" s="35"/>
      <c r="F462" s="130"/>
      <c r="G462" s="14"/>
      <c r="H462" s="14"/>
      <c r="I462" s="14"/>
      <c r="J462" s="14"/>
      <c r="K462" s="14"/>
      <c r="L462" s="14"/>
      <c r="M462" s="14"/>
    </row>
    <row r="463" spans="2:13" s="7" customFormat="1" ht="13.5">
      <c r="B463" s="30"/>
      <c r="C463" s="30"/>
      <c r="D463" s="31"/>
      <c r="E463" s="35"/>
      <c r="F463" s="130"/>
      <c r="G463" s="14"/>
      <c r="H463" s="14"/>
      <c r="I463" s="14"/>
      <c r="J463" s="14"/>
      <c r="K463" s="14"/>
      <c r="L463" s="14"/>
      <c r="M463" s="14"/>
    </row>
    <row r="464" spans="2:13" s="7" customFormat="1" ht="13.5">
      <c r="B464" s="30"/>
      <c r="C464" s="30"/>
      <c r="D464" s="31"/>
      <c r="E464" s="35"/>
      <c r="F464" s="130"/>
      <c r="G464" s="14"/>
      <c r="H464" s="14"/>
      <c r="I464" s="14"/>
      <c r="J464" s="14"/>
      <c r="K464" s="14"/>
      <c r="L464" s="14"/>
      <c r="M464" s="14"/>
    </row>
    <row r="465" spans="2:13" s="7" customFormat="1" ht="13.5">
      <c r="B465" s="30"/>
      <c r="C465" s="30"/>
      <c r="D465" s="31"/>
      <c r="E465" s="35"/>
      <c r="F465" s="130"/>
      <c r="G465" s="14"/>
      <c r="H465" s="14"/>
      <c r="I465" s="14"/>
      <c r="J465" s="14"/>
      <c r="K465" s="14"/>
      <c r="L465" s="14"/>
      <c r="M465" s="14"/>
    </row>
    <row r="466" spans="2:13" s="7" customFormat="1" ht="13.5">
      <c r="B466" s="30"/>
      <c r="C466" s="30"/>
      <c r="D466" s="31"/>
      <c r="E466" s="35"/>
      <c r="F466" s="130"/>
      <c r="G466" s="14"/>
      <c r="H466" s="14"/>
      <c r="I466" s="14"/>
      <c r="J466" s="14"/>
      <c r="K466" s="14"/>
      <c r="L466" s="14"/>
      <c r="M466" s="14"/>
    </row>
    <row r="467" spans="2:13" s="7" customFormat="1" ht="13.5">
      <c r="B467" s="30"/>
      <c r="C467" s="30"/>
      <c r="D467" s="31"/>
      <c r="E467" s="35"/>
      <c r="F467" s="130"/>
      <c r="G467" s="14"/>
      <c r="H467" s="14"/>
      <c r="I467" s="14"/>
      <c r="J467" s="14"/>
      <c r="K467" s="14"/>
      <c r="L467" s="14"/>
      <c r="M467" s="14"/>
    </row>
    <row r="468" spans="2:13" s="7" customFormat="1" ht="13.5">
      <c r="B468" s="30"/>
      <c r="C468" s="30"/>
      <c r="D468" s="31"/>
      <c r="E468" s="35"/>
      <c r="F468" s="130"/>
      <c r="G468" s="14"/>
      <c r="H468" s="14"/>
      <c r="I468" s="14"/>
      <c r="J468" s="14"/>
      <c r="K468" s="14"/>
      <c r="L468" s="14"/>
      <c r="M468" s="14"/>
    </row>
    <row r="469" spans="2:13" s="7" customFormat="1" ht="13.5">
      <c r="B469" s="30"/>
      <c r="C469" s="30"/>
      <c r="D469" s="31"/>
      <c r="E469" s="35"/>
      <c r="F469" s="130"/>
      <c r="G469" s="14"/>
      <c r="H469" s="14"/>
      <c r="I469" s="14"/>
      <c r="J469" s="14"/>
      <c r="K469" s="14"/>
      <c r="L469" s="14"/>
      <c r="M469" s="14"/>
    </row>
    <row r="470" spans="2:13" s="7" customFormat="1" ht="13.5">
      <c r="B470" s="30"/>
      <c r="C470" s="30"/>
      <c r="D470" s="31"/>
      <c r="E470" s="35"/>
      <c r="F470" s="130"/>
      <c r="G470" s="14"/>
      <c r="H470" s="14"/>
      <c r="I470" s="14"/>
      <c r="J470" s="14"/>
      <c r="K470" s="14"/>
      <c r="L470" s="14"/>
      <c r="M470" s="14"/>
    </row>
    <row r="471" spans="2:13" s="7" customFormat="1" ht="13.5">
      <c r="B471" s="30"/>
      <c r="C471" s="30"/>
      <c r="D471" s="31"/>
      <c r="E471" s="35"/>
      <c r="F471" s="130"/>
      <c r="G471" s="14"/>
      <c r="H471" s="14"/>
      <c r="I471" s="14"/>
      <c r="J471" s="14"/>
      <c r="K471" s="14"/>
      <c r="L471" s="14"/>
      <c r="M471" s="14"/>
    </row>
    <row r="472" spans="2:13" s="7" customFormat="1" ht="13.5">
      <c r="B472" s="30"/>
      <c r="C472" s="30"/>
      <c r="D472" s="31"/>
      <c r="E472" s="35"/>
      <c r="F472" s="130"/>
      <c r="G472" s="14"/>
      <c r="H472" s="14"/>
      <c r="I472" s="14"/>
      <c r="J472" s="14"/>
      <c r="K472" s="14"/>
      <c r="L472" s="14"/>
      <c r="M472" s="14"/>
    </row>
    <row r="473" spans="2:13" s="7" customFormat="1" ht="13.5">
      <c r="B473" s="30"/>
      <c r="C473" s="30"/>
      <c r="D473" s="31"/>
      <c r="E473" s="35"/>
      <c r="F473" s="130"/>
      <c r="G473" s="14"/>
      <c r="H473" s="14"/>
      <c r="I473" s="14"/>
      <c r="J473" s="14"/>
      <c r="K473" s="14"/>
      <c r="L473" s="14"/>
      <c r="M473" s="14"/>
    </row>
    <row r="474" spans="2:13" s="7" customFormat="1" ht="13.5">
      <c r="B474" s="30"/>
      <c r="C474" s="30"/>
      <c r="D474" s="31"/>
      <c r="E474" s="35"/>
      <c r="F474" s="130"/>
      <c r="G474" s="14"/>
      <c r="H474" s="14"/>
      <c r="I474" s="14"/>
      <c r="J474" s="14"/>
      <c r="K474" s="14"/>
      <c r="L474" s="14"/>
      <c r="M474" s="14"/>
    </row>
    <row r="475" spans="2:13" s="7" customFormat="1" ht="13.5">
      <c r="B475" s="30"/>
      <c r="C475" s="30"/>
      <c r="D475" s="31"/>
      <c r="E475" s="35"/>
      <c r="F475" s="130"/>
      <c r="G475" s="14"/>
      <c r="H475" s="14"/>
      <c r="I475" s="14"/>
      <c r="J475" s="14"/>
      <c r="K475" s="14"/>
      <c r="L475" s="14"/>
      <c r="M475" s="14"/>
    </row>
    <row r="476" spans="2:13" s="7" customFormat="1" ht="13.5">
      <c r="B476" s="30"/>
      <c r="C476" s="30"/>
      <c r="D476" s="31"/>
      <c r="E476" s="35"/>
      <c r="F476" s="130"/>
      <c r="G476" s="14"/>
      <c r="H476" s="14"/>
      <c r="I476" s="14"/>
      <c r="J476" s="14"/>
      <c r="K476" s="14"/>
      <c r="L476" s="14"/>
      <c r="M476" s="14"/>
    </row>
    <row r="477" spans="2:13" s="7" customFormat="1" ht="13.5">
      <c r="B477" s="30"/>
      <c r="C477" s="30"/>
      <c r="D477" s="31"/>
      <c r="E477" s="35"/>
      <c r="F477" s="130"/>
      <c r="G477" s="14"/>
      <c r="H477" s="14"/>
      <c r="I477" s="14"/>
      <c r="J477" s="14"/>
      <c r="K477" s="14"/>
      <c r="L477" s="14"/>
      <c r="M477" s="14"/>
    </row>
    <row r="478" spans="2:13" s="7" customFormat="1" ht="13.5">
      <c r="B478" s="30"/>
      <c r="C478" s="30"/>
      <c r="D478" s="31"/>
      <c r="E478" s="35"/>
      <c r="F478" s="130"/>
      <c r="G478" s="14"/>
      <c r="H478" s="14"/>
      <c r="I478" s="14"/>
      <c r="J478" s="14"/>
      <c r="K478" s="14"/>
      <c r="L478" s="14"/>
      <c r="M478" s="14"/>
    </row>
    <row r="479" spans="2:13" s="7" customFormat="1" ht="13.5">
      <c r="B479" s="30"/>
      <c r="C479" s="30"/>
      <c r="D479" s="31"/>
      <c r="E479" s="35"/>
      <c r="F479" s="130"/>
      <c r="G479" s="14"/>
      <c r="H479" s="14"/>
      <c r="I479" s="14"/>
      <c r="J479" s="14"/>
      <c r="K479" s="14"/>
      <c r="L479" s="14"/>
      <c r="M479" s="14"/>
    </row>
    <row r="480" spans="2:13" s="7" customFormat="1" ht="13.5">
      <c r="B480" s="30"/>
      <c r="C480" s="30"/>
      <c r="D480" s="31"/>
      <c r="E480" s="35"/>
      <c r="F480" s="130"/>
      <c r="G480" s="14"/>
      <c r="H480" s="14"/>
      <c r="I480" s="14"/>
      <c r="J480" s="14"/>
      <c r="K480" s="14"/>
      <c r="L480" s="14"/>
      <c r="M480" s="14"/>
    </row>
    <row r="481" spans="2:13" s="7" customFormat="1" ht="13.5">
      <c r="B481" s="30"/>
      <c r="C481" s="30"/>
      <c r="D481" s="31"/>
      <c r="E481" s="35"/>
      <c r="F481" s="130"/>
      <c r="G481" s="14"/>
      <c r="H481" s="14"/>
      <c r="I481" s="14"/>
      <c r="J481" s="14"/>
      <c r="K481" s="14"/>
      <c r="L481" s="14"/>
      <c r="M481" s="14"/>
    </row>
    <row r="482" spans="2:13" s="7" customFormat="1" ht="13.5">
      <c r="B482" s="30"/>
      <c r="C482" s="30"/>
      <c r="D482" s="31"/>
      <c r="E482" s="35"/>
      <c r="F482" s="130"/>
      <c r="G482" s="14"/>
      <c r="H482" s="14"/>
      <c r="I482" s="14"/>
      <c r="J482" s="14"/>
      <c r="K482" s="14"/>
      <c r="L482" s="14"/>
      <c r="M482" s="14"/>
    </row>
    <row r="483" spans="2:13" s="7" customFormat="1" ht="13.5">
      <c r="B483" s="30"/>
      <c r="C483" s="30"/>
      <c r="D483" s="31"/>
      <c r="E483" s="35"/>
      <c r="F483" s="130"/>
      <c r="G483" s="14"/>
      <c r="H483" s="14"/>
      <c r="I483" s="14"/>
      <c r="J483" s="14"/>
      <c r="K483" s="14"/>
      <c r="L483" s="14"/>
      <c r="M483" s="14"/>
    </row>
    <row r="484" spans="2:13" s="7" customFormat="1" ht="13.5">
      <c r="B484" s="30"/>
      <c r="C484" s="30"/>
      <c r="D484" s="31"/>
      <c r="E484" s="35"/>
      <c r="F484" s="130"/>
      <c r="G484" s="14"/>
      <c r="H484" s="14"/>
      <c r="I484" s="14"/>
      <c r="J484" s="14"/>
      <c r="K484" s="14"/>
      <c r="L484" s="14"/>
      <c r="M484" s="14"/>
    </row>
    <row r="485" spans="2:13" s="7" customFormat="1" ht="13.5">
      <c r="B485" s="30"/>
      <c r="C485" s="30"/>
      <c r="D485" s="31"/>
      <c r="E485" s="35"/>
      <c r="F485" s="130"/>
      <c r="G485" s="14"/>
      <c r="H485" s="14"/>
      <c r="I485" s="14"/>
      <c r="J485" s="14"/>
      <c r="K485" s="14"/>
      <c r="L485" s="14"/>
      <c r="M485" s="14"/>
    </row>
    <row r="486" spans="2:13" s="7" customFormat="1" ht="13.5">
      <c r="B486" s="30"/>
      <c r="C486" s="30"/>
      <c r="D486" s="31"/>
      <c r="E486" s="35"/>
      <c r="F486" s="130"/>
      <c r="G486" s="14"/>
      <c r="H486" s="14"/>
      <c r="I486" s="14"/>
      <c r="J486" s="14"/>
      <c r="K486" s="14"/>
      <c r="L486" s="14"/>
      <c r="M486" s="14"/>
    </row>
    <row r="487" spans="2:13" s="7" customFormat="1" ht="13.5">
      <c r="B487" s="30"/>
      <c r="C487" s="30"/>
      <c r="D487" s="31"/>
      <c r="E487" s="35"/>
      <c r="F487" s="130"/>
      <c r="G487" s="14"/>
      <c r="H487" s="14"/>
      <c r="I487" s="14"/>
      <c r="J487" s="14"/>
      <c r="K487" s="14"/>
      <c r="L487" s="14"/>
      <c r="M487" s="14"/>
    </row>
    <row r="488" spans="2:13" s="7" customFormat="1" ht="13.5">
      <c r="B488" s="30"/>
      <c r="C488" s="30"/>
      <c r="D488" s="31"/>
      <c r="E488" s="35"/>
      <c r="F488" s="130"/>
      <c r="G488" s="14"/>
      <c r="H488" s="14"/>
      <c r="I488" s="14"/>
      <c r="J488" s="14"/>
      <c r="K488" s="14"/>
      <c r="L488" s="14"/>
      <c r="M488" s="14"/>
    </row>
    <row r="489" spans="2:13" s="7" customFormat="1" ht="13.5">
      <c r="B489" s="30"/>
      <c r="C489" s="30"/>
      <c r="D489" s="31"/>
      <c r="E489" s="35"/>
      <c r="F489" s="130"/>
      <c r="G489" s="14"/>
      <c r="H489" s="14"/>
      <c r="I489" s="14"/>
      <c r="J489" s="14"/>
      <c r="K489" s="14"/>
      <c r="L489" s="14"/>
      <c r="M489" s="14"/>
    </row>
    <row r="490" spans="2:13" s="7" customFormat="1" ht="13.5">
      <c r="B490" s="30"/>
      <c r="C490" s="30"/>
      <c r="D490" s="31"/>
      <c r="E490" s="35"/>
      <c r="F490" s="130"/>
      <c r="G490" s="14"/>
      <c r="H490" s="14"/>
      <c r="I490" s="14"/>
      <c r="J490" s="14"/>
      <c r="K490" s="14"/>
      <c r="L490" s="14"/>
      <c r="M490" s="14"/>
    </row>
    <row r="491" spans="2:13" s="7" customFormat="1" ht="13.5">
      <c r="B491" s="30"/>
      <c r="C491" s="30"/>
      <c r="D491" s="31"/>
      <c r="E491" s="35"/>
      <c r="F491" s="130"/>
      <c r="G491" s="14"/>
      <c r="H491" s="14"/>
      <c r="I491" s="14"/>
      <c r="J491" s="14"/>
      <c r="K491" s="14"/>
      <c r="L491" s="14"/>
      <c r="M491" s="14"/>
    </row>
    <row r="492" spans="2:13" s="7" customFormat="1" ht="13.5">
      <c r="B492" s="30"/>
      <c r="C492" s="30"/>
      <c r="D492" s="31"/>
      <c r="E492" s="35"/>
      <c r="F492" s="130"/>
      <c r="G492" s="14"/>
      <c r="H492" s="14"/>
      <c r="I492" s="14"/>
      <c r="J492" s="14"/>
      <c r="K492" s="14"/>
      <c r="L492" s="14"/>
      <c r="M492" s="14"/>
    </row>
    <row r="493" spans="2:13" s="7" customFormat="1" ht="13.5">
      <c r="B493" s="30"/>
      <c r="C493" s="30"/>
      <c r="D493" s="31"/>
      <c r="E493" s="35"/>
      <c r="F493" s="130"/>
      <c r="G493" s="14"/>
      <c r="H493" s="14"/>
      <c r="I493" s="14"/>
      <c r="J493" s="14"/>
      <c r="K493" s="14"/>
      <c r="L493" s="14"/>
      <c r="M493" s="14"/>
    </row>
    <row r="494" spans="2:13" s="7" customFormat="1" ht="13.5">
      <c r="B494" s="30"/>
      <c r="C494" s="30"/>
      <c r="D494" s="31"/>
      <c r="E494" s="35"/>
      <c r="F494" s="130"/>
      <c r="G494" s="14"/>
      <c r="H494" s="14"/>
      <c r="I494" s="14"/>
      <c r="J494" s="14"/>
      <c r="K494" s="14"/>
      <c r="L494" s="14"/>
      <c r="M494" s="14"/>
    </row>
    <row r="495" spans="2:13" s="7" customFormat="1" ht="13.5">
      <c r="B495" s="30"/>
      <c r="C495" s="30"/>
      <c r="D495" s="31"/>
      <c r="E495" s="35"/>
      <c r="F495" s="130"/>
      <c r="G495" s="14"/>
      <c r="H495" s="14"/>
      <c r="I495" s="14"/>
      <c r="J495" s="14"/>
      <c r="K495" s="14"/>
      <c r="L495" s="14"/>
      <c r="M495" s="14"/>
    </row>
    <row r="496" spans="2:13" s="7" customFormat="1" ht="13.5">
      <c r="B496" s="30"/>
      <c r="C496" s="30"/>
      <c r="D496" s="31"/>
      <c r="E496" s="35"/>
      <c r="F496" s="130"/>
      <c r="G496" s="14"/>
      <c r="H496" s="14"/>
      <c r="I496" s="14"/>
      <c r="J496" s="14"/>
      <c r="K496" s="14"/>
      <c r="L496" s="14"/>
      <c r="M496" s="14"/>
    </row>
    <row r="497" spans="2:13" s="7" customFormat="1" ht="13.5">
      <c r="B497" s="30"/>
      <c r="C497" s="30"/>
      <c r="D497" s="31"/>
      <c r="E497" s="35"/>
      <c r="F497" s="130"/>
      <c r="G497" s="14"/>
      <c r="H497" s="14"/>
      <c r="I497" s="14"/>
      <c r="J497" s="14"/>
      <c r="K497" s="14"/>
      <c r="L497" s="14"/>
      <c r="M497" s="14"/>
    </row>
    <row r="498" spans="2:13" s="7" customFormat="1" ht="13.5">
      <c r="B498" s="30"/>
      <c r="C498" s="30"/>
      <c r="D498" s="31"/>
      <c r="E498" s="35"/>
      <c r="F498" s="130"/>
      <c r="G498" s="14"/>
      <c r="H498" s="14"/>
      <c r="I498" s="14"/>
      <c r="J498" s="14"/>
      <c r="K498" s="14"/>
      <c r="L498" s="14"/>
      <c r="M498" s="14"/>
    </row>
    <row r="499" spans="2:13" s="7" customFormat="1" ht="13.5">
      <c r="B499" s="30"/>
      <c r="C499" s="30"/>
      <c r="D499" s="31"/>
      <c r="E499" s="35"/>
      <c r="F499" s="130"/>
      <c r="G499" s="14"/>
      <c r="H499" s="14"/>
      <c r="I499" s="14"/>
      <c r="J499" s="14"/>
      <c r="K499" s="14"/>
      <c r="L499" s="14"/>
      <c r="M499" s="14"/>
    </row>
    <row r="500" spans="2:13" s="7" customFormat="1" ht="13.5">
      <c r="B500" s="30"/>
      <c r="C500" s="30"/>
      <c r="D500" s="31"/>
      <c r="E500" s="35"/>
      <c r="F500" s="130"/>
      <c r="G500" s="14"/>
      <c r="H500" s="14"/>
      <c r="I500" s="14"/>
      <c r="J500" s="14"/>
      <c r="K500" s="14"/>
      <c r="L500" s="14"/>
      <c r="M500" s="14"/>
    </row>
    <row r="501" spans="2:13" s="7" customFormat="1" ht="13.5">
      <c r="B501" s="30"/>
      <c r="C501" s="30"/>
      <c r="D501" s="31"/>
      <c r="E501" s="35"/>
      <c r="F501" s="130"/>
      <c r="G501" s="14"/>
      <c r="H501" s="14"/>
      <c r="I501" s="14"/>
      <c r="J501" s="14"/>
      <c r="K501" s="14"/>
      <c r="L501" s="14"/>
      <c r="M501" s="14"/>
    </row>
    <row r="502" spans="2:13" s="7" customFormat="1" ht="13.5">
      <c r="B502" s="30"/>
      <c r="C502" s="30"/>
      <c r="D502" s="31"/>
      <c r="E502" s="35"/>
      <c r="F502" s="130"/>
      <c r="G502" s="14"/>
      <c r="H502" s="14"/>
      <c r="I502" s="14"/>
      <c r="J502" s="14"/>
      <c r="K502" s="14"/>
      <c r="L502" s="14"/>
      <c r="M502" s="14"/>
    </row>
    <row r="503" spans="2:13" s="7" customFormat="1" ht="13.5">
      <c r="B503" s="30"/>
      <c r="C503" s="30"/>
      <c r="D503" s="31"/>
      <c r="E503" s="35"/>
      <c r="F503" s="130"/>
      <c r="G503" s="14"/>
      <c r="H503" s="14"/>
      <c r="I503" s="14"/>
      <c r="J503" s="14"/>
      <c r="K503" s="14"/>
      <c r="L503" s="14"/>
      <c r="M503" s="14"/>
    </row>
    <row r="504" spans="2:13" s="7" customFormat="1" ht="13.5">
      <c r="B504" s="30"/>
      <c r="C504" s="30"/>
      <c r="D504" s="31"/>
      <c r="E504" s="35"/>
      <c r="F504" s="130"/>
      <c r="G504" s="14"/>
      <c r="H504" s="14"/>
      <c r="I504" s="14"/>
      <c r="J504" s="14"/>
      <c r="K504" s="14"/>
      <c r="L504" s="14"/>
      <c r="M504" s="14"/>
    </row>
    <row r="505" spans="2:13" s="7" customFormat="1" ht="13.5">
      <c r="B505" s="30"/>
      <c r="C505" s="30"/>
      <c r="D505" s="31"/>
      <c r="E505" s="35"/>
      <c r="F505" s="130"/>
      <c r="G505" s="14"/>
      <c r="H505" s="14"/>
      <c r="I505" s="14"/>
      <c r="J505" s="14"/>
      <c r="K505" s="14"/>
      <c r="L505" s="14"/>
      <c r="M505" s="14"/>
    </row>
    <row r="506" spans="2:13" s="7" customFormat="1" ht="13.5">
      <c r="B506" s="30"/>
      <c r="C506" s="30"/>
      <c r="D506" s="31"/>
      <c r="E506" s="35"/>
      <c r="F506" s="130"/>
      <c r="G506" s="14"/>
      <c r="H506" s="14"/>
      <c r="I506" s="14"/>
      <c r="J506" s="14"/>
      <c r="K506" s="14"/>
      <c r="L506" s="14"/>
      <c r="M506" s="14"/>
    </row>
    <row r="507" spans="2:13" s="7" customFormat="1" ht="13.5">
      <c r="B507" s="30"/>
      <c r="C507" s="30"/>
      <c r="D507" s="31"/>
      <c r="E507" s="35"/>
      <c r="F507" s="130"/>
      <c r="G507" s="14"/>
      <c r="H507" s="14"/>
      <c r="I507" s="14"/>
      <c r="J507" s="14"/>
      <c r="K507" s="14"/>
      <c r="L507" s="14"/>
      <c r="M507" s="14"/>
    </row>
    <row r="508" spans="2:13" s="7" customFormat="1" ht="13.5">
      <c r="B508" s="30"/>
      <c r="C508" s="30"/>
      <c r="D508" s="31"/>
      <c r="E508" s="35"/>
      <c r="F508" s="130"/>
      <c r="G508" s="14"/>
      <c r="H508" s="14"/>
      <c r="I508" s="14"/>
      <c r="J508" s="14"/>
      <c r="K508" s="14"/>
      <c r="L508" s="14"/>
      <c r="M508" s="14"/>
    </row>
    <row r="509" spans="2:13" s="7" customFormat="1" ht="13.5">
      <c r="B509" s="30"/>
      <c r="C509" s="30"/>
      <c r="D509" s="31"/>
      <c r="E509" s="35"/>
      <c r="F509" s="130"/>
      <c r="G509" s="14"/>
      <c r="H509" s="14"/>
      <c r="I509" s="14"/>
      <c r="J509" s="14"/>
      <c r="K509" s="14"/>
      <c r="L509" s="14"/>
      <c r="M509" s="14"/>
    </row>
    <row r="510" spans="2:13" s="7" customFormat="1" ht="13.5">
      <c r="B510" s="30"/>
      <c r="C510" s="30"/>
      <c r="D510" s="31"/>
      <c r="E510" s="35"/>
      <c r="F510" s="130"/>
      <c r="G510" s="14"/>
      <c r="H510" s="14"/>
      <c r="I510" s="14"/>
      <c r="J510" s="14"/>
      <c r="K510" s="14"/>
      <c r="L510" s="14"/>
      <c r="M510" s="14"/>
    </row>
    <row r="511" spans="2:13" s="7" customFormat="1" ht="13.5">
      <c r="B511" s="30"/>
      <c r="C511" s="30"/>
      <c r="D511" s="31"/>
      <c r="E511" s="35"/>
      <c r="F511" s="130"/>
      <c r="G511" s="14"/>
      <c r="H511" s="14"/>
      <c r="I511" s="14"/>
      <c r="J511" s="14"/>
      <c r="K511" s="14"/>
      <c r="L511" s="14"/>
      <c r="M511" s="14"/>
    </row>
    <row r="512" spans="2:13" s="7" customFormat="1" ht="13.5">
      <c r="B512" s="30"/>
      <c r="C512" s="30"/>
      <c r="D512" s="31"/>
      <c r="E512" s="35"/>
      <c r="F512" s="130"/>
      <c r="G512" s="14"/>
      <c r="H512" s="14"/>
      <c r="I512" s="14"/>
      <c r="J512" s="14"/>
      <c r="K512" s="14"/>
      <c r="L512" s="14"/>
      <c r="M512" s="14"/>
    </row>
    <row r="513" spans="2:13" s="7" customFormat="1" ht="13.5">
      <c r="B513" s="30"/>
      <c r="C513" s="30"/>
      <c r="D513" s="31"/>
      <c r="E513" s="35"/>
      <c r="F513" s="130"/>
      <c r="G513" s="14"/>
      <c r="H513" s="14"/>
      <c r="I513" s="14"/>
      <c r="J513" s="14"/>
      <c r="K513" s="14"/>
      <c r="L513" s="14"/>
      <c r="M513" s="14"/>
    </row>
    <row r="514" spans="2:13" s="7" customFormat="1" ht="13.5">
      <c r="B514" s="30"/>
      <c r="C514" s="30"/>
      <c r="D514" s="31"/>
      <c r="E514" s="35"/>
      <c r="F514" s="130"/>
      <c r="G514" s="14"/>
      <c r="H514" s="14"/>
      <c r="I514" s="14"/>
      <c r="J514" s="14"/>
      <c r="K514" s="14"/>
      <c r="L514" s="14"/>
      <c r="M514" s="14"/>
    </row>
    <row r="515" spans="2:13" s="7" customFormat="1" ht="13.5">
      <c r="B515" s="30"/>
      <c r="C515" s="30"/>
      <c r="D515" s="31"/>
      <c r="E515" s="35"/>
      <c r="F515" s="130"/>
      <c r="G515" s="14"/>
      <c r="H515" s="14"/>
      <c r="I515" s="14"/>
      <c r="J515" s="14"/>
      <c r="K515" s="14"/>
      <c r="L515" s="14"/>
      <c r="M515" s="14"/>
    </row>
    <row r="516" spans="2:13" s="7" customFormat="1" ht="13.5">
      <c r="B516" s="30"/>
      <c r="C516" s="30"/>
      <c r="D516" s="31"/>
      <c r="E516" s="35"/>
      <c r="F516" s="130"/>
      <c r="G516" s="14"/>
      <c r="H516" s="14"/>
      <c r="I516" s="14"/>
      <c r="J516" s="14"/>
      <c r="K516" s="14"/>
      <c r="L516" s="14"/>
      <c r="M516" s="14"/>
    </row>
    <row r="517" spans="2:13" s="7" customFormat="1" ht="13.5">
      <c r="B517" s="30"/>
      <c r="C517" s="30"/>
      <c r="D517" s="31"/>
      <c r="E517" s="35"/>
      <c r="F517" s="130"/>
      <c r="G517" s="14"/>
      <c r="H517" s="14"/>
      <c r="I517" s="14"/>
      <c r="J517" s="14"/>
      <c r="K517" s="14"/>
      <c r="L517" s="14"/>
      <c r="M517" s="14"/>
    </row>
    <row r="518" spans="2:13" s="7" customFormat="1" ht="13.5">
      <c r="B518" s="30"/>
      <c r="C518" s="30"/>
      <c r="D518" s="31"/>
      <c r="E518" s="35"/>
      <c r="F518" s="130"/>
      <c r="G518" s="14"/>
      <c r="H518" s="14"/>
      <c r="I518" s="14"/>
      <c r="J518" s="14"/>
      <c r="K518" s="14"/>
      <c r="L518" s="14"/>
      <c r="M518" s="14"/>
    </row>
    <row r="519" spans="2:13" s="7" customFormat="1" ht="13.5">
      <c r="B519" s="30"/>
      <c r="C519" s="30"/>
      <c r="D519" s="31"/>
      <c r="E519" s="35"/>
      <c r="F519" s="130"/>
      <c r="G519" s="14"/>
      <c r="H519" s="14"/>
      <c r="I519" s="14"/>
      <c r="J519" s="14"/>
      <c r="K519" s="14"/>
      <c r="L519" s="14"/>
      <c r="M519" s="14"/>
    </row>
    <row r="520" spans="2:13" s="7" customFormat="1" ht="13.5">
      <c r="B520" s="30"/>
      <c r="C520" s="30"/>
      <c r="D520" s="31"/>
      <c r="E520" s="35"/>
      <c r="F520" s="130"/>
      <c r="G520" s="14"/>
      <c r="H520" s="14"/>
      <c r="I520" s="14"/>
      <c r="J520" s="14"/>
      <c r="K520" s="14"/>
      <c r="L520" s="14"/>
      <c r="M520" s="14"/>
    </row>
    <row r="521" spans="2:13" s="7" customFormat="1" ht="13.5">
      <c r="B521" s="30"/>
      <c r="C521" s="30"/>
      <c r="D521" s="31"/>
      <c r="E521" s="35"/>
      <c r="F521" s="130"/>
      <c r="G521" s="14"/>
      <c r="H521" s="14"/>
      <c r="I521" s="14"/>
      <c r="J521" s="14"/>
      <c r="K521" s="14"/>
      <c r="L521" s="14"/>
      <c r="M521" s="14"/>
    </row>
    <row r="522" spans="2:13" s="7" customFormat="1" ht="13.5">
      <c r="B522" s="30"/>
      <c r="C522" s="30"/>
      <c r="D522" s="31"/>
      <c r="E522" s="35"/>
      <c r="F522" s="130"/>
      <c r="G522" s="14"/>
      <c r="H522" s="14"/>
      <c r="I522" s="14"/>
      <c r="J522" s="14"/>
      <c r="K522" s="14"/>
      <c r="L522" s="14"/>
      <c r="M522" s="14"/>
    </row>
    <row r="523" spans="2:13" s="7" customFormat="1" ht="13.5">
      <c r="B523" s="30"/>
      <c r="C523" s="30"/>
      <c r="D523" s="31"/>
      <c r="E523" s="35"/>
      <c r="F523" s="130"/>
      <c r="G523" s="14"/>
      <c r="H523" s="14"/>
      <c r="I523" s="14"/>
      <c r="J523" s="14"/>
      <c r="K523" s="14"/>
      <c r="L523" s="14"/>
      <c r="M523" s="14"/>
    </row>
    <row r="524" spans="2:13" s="7" customFormat="1" ht="13.5">
      <c r="B524" s="30"/>
      <c r="C524" s="30"/>
      <c r="D524" s="31"/>
      <c r="E524" s="35"/>
      <c r="F524" s="130"/>
      <c r="G524" s="14"/>
      <c r="H524" s="14"/>
      <c r="I524" s="14"/>
      <c r="J524" s="14"/>
      <c r="K524" s="14"/>
      <c r="L524" s="14"/>
      <c r="M524" s="14"/>
    </row>
    <row r="525" spans="2:13" s="7" customFormat="1" ht="13.5">
      <c r="B525" s="30"/>
      <c r="C525" s="30"/>
      <c r="D525" s="31"/>
      <c r="E525" s="35"/>
      <c r="F525" s="130"/>
      <c r="G525" s="14"/>
      <c r="H525" s="14"/>
      <c r="I525" s="14"/>
      <c r="J525" s="14"/>
      <c r="K525" s="14"/>
      <c r="L525" s="14"/>
      <c r="M525" s="14"/>
    </row>
    <row r="526" spans="2:13" s="7" customFormat="1" ht="13.5">
      <c r="B526" s="30"/>
      <c r="C526" s="30"/>
      <c r="D526" s="31"/>
      <c r="E526" s="35"/>
      <c r="F526" s="130"/>
      <c r="G526" s="14"/>
      <c r="H526" s="14"/>
      <c r="I526" s="14"/>
      <c r="J526" s="14"/>
      <c r="K526" s="14"/>
      <c r="L526" s="14"/>
      <c r="M526" s="14"/>
    </row>
    <row r="527" spans="2:13" s="7" customFormat="1" ht="13.5">
      <c r="B527" s="30"/>
      <c r="C527" s="30"/>
      <c r="D527" s="31"/>
      <c r="E527" s="35"/>
      <c r="F527" s="130"/>
      <c r="G527" s="14"/>
      <c r="H527" s="14"/>
      <c r="I527" s="14"/>
      <c r="J527" s="14"/>
      <c r="K527" s="14"/>
      <c r="L527" s="14"/>
      <c r="M527" s="14"/>
    </row>
    <row r="528" spans="2:13" s="7" customFormat="1" ht="13.5">
      <c r="B528" s="30"/>
      <c r="C528" s="30"/>
      <c r="D528" s="31"/>
      <c r="E528" s="35"/>
      <c r="F528" s="130"/>
      <c r="G528" s="14"/>
      <c r="H528" s="14"/>
      <c r="I528" s="14"/>
      <c r="J528" s="14"/>
      <c r="K528" s="14"/>
      <c r="L528" s="14"/>
      <c r="M528" s="14"/>
    </row>
    <row r="529" spans="2:13" s="7" customFormat="1" ht="13.5">
      <c r="B529" s="30"/>
      <c r="C529" s="30"/>
      <c r="D529" s="31"/>
      <c r="E529" s="35"/>
      <c r="F529" s="130"/>
      <c r="G529" s="14"/>
      <c r="H529" s="14"/>
      <c r="I529" s="14"/>
      <c r="J529" s="14"/>
      <c r="K529" s="14"/>
      <c r="L529" s="14"/>
      <c r="M529" s="14"/>
    </row>
    <row r="530" spans="2:13" s="7" customFormat="1" ht="13.5">
      <c r="B530" s="30"/>
      <c r="C530" s="30"/>
      <c r="D530" s="31"/>
      <c r="E530" s="35"/>
      <c r="F530" s="130"/>
      <c r="G530" s="14"/>
      <c r="H530" s="14"/>
      <c r="I530" s="14"/>
      <c r="J530" s="14"/>
      <c r="K530" s="14"/>
      <c r="L530" s="14"/>
      <c r="M530" s="14"/>
    </row>
    <row r="531" spans="2:13" s="7" customFormat="1" ht="13.5">
      <c r="B531" s="30"/>
      <c r="C531" s="30"/>
      <c r="D531" s="31"/>
      <c r="E531" s="35"/>
      <c r="F531" s="130"/>
      <c r="G531" s="14"/>
      <c r="H531" s="14"/>
      <c r="I531" s="14"/>
      <c r="J531" s="14"/>
      <c r="K531" s="14"/>
      <c r="L531" s="14"/>
      <c r="M531" s="14"/>
    </row>
    <row r="532" spans="2:13" s="7" customFormat="1" ht="13.5">
      <c r="B532" s="30"/>
      <c r="C532" s="30"/>
      <c r="D532" s="31"/>
      <c r="E532" s="35"/>
      <c r="F532" s="130"/>
      <c r="G532" s="14"/>
      <c r="H532" s="14"/>
      <c r="I532" s="14"/>
      <c r="J532" s="14"/>
      <c r="K532" s="14"/>
      <c r="L532" s="14"/>
      <c r="M532" s="14"/>
    </row>
    <row r="533" spans="2:13" s="7" customFormat="1" ht="13.5">
      <c r="B533" s="30"/>
      <c r="C533" s="30"/>
      <c r="D533" s="31"/>
      <c r="E533" s="35"/>
      <c r="F533" s="130"/>
      <c r="G533" s="14"/>
      <c r="H533" s="14"/>
      <c r="I533" s="14"/>
      <c r="J533" s="14"/>
      <c r="K533" s="14"/>
      <c r="L533" s="14"/>
      <c r="M533" s="14"/>
    </row>
    <row r="534" spans="2:13" s="7" customFormat="1" ht="13.5">
      <c r="B534" s="30"/>
      <c r="C534" s="30"/>
      <c r="D534" s="31"/>
      <c r="E534" s="35"/>
      <c r="F534" s="130"/>
      <c r="G534" s="14"/>
      <c r="H534" s="14"/>
      <c r="I534" s="14"/>
      <c r="J534" s="14"/>
      <c r="K534" s="14"/>
      <c r="L534" s="14"/>
      <c r="M534" s="14"/>
    </row>
    <row r="535" spans="2:13" s="7" customFormat="1" ht="13.5">
      <c r="B535" s="30"/>
      <c r="C535" s="30"/>
      <c r="D535" s="31"/>
      <c r="E535" s="35"/>
      <c r="F535" s="130"/>
      <c r="G535" s="14"/>
      <c r="H535" s="14"/>
      <c r="I535" s="14"/>
      <c r="J535" s="14"/>
      <c r="K535" s="14"/>
      <c r="L535" s="14"/>
      <c r="M535" s="14"/>
    </row>
    <row r="536" spans="2:13" s="7" customFormat="1" ht="13.5">
      <c r="B536" s="30"/>
      <c r="C536" s="30"/>
      <c r="D536" s="31"/>
      <c r="E536" s="35"/>
      <c r="F536" s="130"/>
      <c r="G536" s="14"/>
      <c r="H536" s="14"/>
      <c r="I536" s="14"/>
      <c r="J536" s="14"/>
      <c r="K536" s="14"/>
      <c r="L536" s="14"/>
      <c r="M536" s="14"/>
    </row>
    <row r="537" spans="2:13" s="7" customFormat="1" ht="13.5">
      <c r="B537" s="30"/>
      <c r="C537" s="30"/>
      <c r="D537" s="31"/>
      <c r="E537" s="35"/>
      <c r="F537" s="130"/>
      <c r="G537" s="14"/>
      <c r="H537" s="14"/>
      <c r="I537" s="14"/>
      <c r="J537" s="14"/>
      <c r="K537" s="14"/>
      <c r="L537" s="14"/>
      <c r="M537" s="14"/>
    </row>
    <row r="538" spans="2:13" s="7" customFormat="1" ht="13.5">
      <c r="B538" s="30"/>
      <c r="C538" s="30"/>
      <c r="D538" s="31"/>
      <c r="E538" s="35"/>
      <c r="F538" s="130"/>
      <c r="G538" s="14"/>
      <c r="H538" s="14"/>
      <c r="I538" s="14"/>
      <c r="J538" s="14"/>
      <c r="K538" s="14"/>
      <c r="L538" s="14"/>
      <c r="M538" s="14"/>
    </row>
    <row r="539" spans="2:13" s="7" customFormat="1" ht="13.5">
      <c r="B539" s="30"/>
      <c r="C539" s="30"/>
      <c r="D539" s="31"/>
      <c r="E539" s="35"/>
      <c r="F539" s="130"/>
      <c r="G539" s="14"/>
      <c r="H539" s="14"/>
      <c r="I539" s="14"/>
      <c r="J539" s="14"/>
      <c r="K539" s="14"/>
      <c r="L539" s="14"/>
      <c r="M539" s="14"/>
    </row>
    <row r="540" spans="2:13" s="7" customFormat="1" ht="13.5">
      <c r="B540" s="30"/>
      <c r="C540" s="30"/>
      <c r="D540" s="31"/>
      <c r="E540" s="35"/>
      <c r="F540" s="130"/>
      <c r="G540" s="14"/>
      <c r="H540" s="14"/>
      <c r="I540" s="14"/>
      <c r="J540" s="14"/>
      <c r="K540" s="14"/>
      <c r="L540" s="14"/>
      <c r="M540" s="14"/>
    </row>
    <row r="541" spans="2:13" s="7" customFormat="1" ht="13.5">
      <c r="B541" s="30"/>
      <c r="C541" s="30"/>
      <c r="D541" s="31"/>
      <c r="E541" s="35"/>
      <c r="F541" s="130"/>
      <c r="G541" s="14"/>
      <c r="H541" s="14"/>
      <c r="I541" s="14"/>
      <c r="J541" s="14"/>
      <c r="K541" s="14"/>
      <c r="L541" s="14"/>
      <c r="M541" s="14"/>
    </row>
    <row r="542" spans="2:13" s="7" customFormat="1" ht="13.5">
      <c r="B542" s="30"/>
      <c r="C542" s="30"/>
      <c r="D542" s="31"/>
      <c r="E542" s="35"/>
      <c r="F542" s="130"/>
      <c r="G542" s="14"/>
      <c r="H542" s="14"/>
      <c r="I542" s="14"/>
      <c r="J542" s="14"/>
      <c r="K542" s="14"/>
      <c r="L542" s="14"/>
      <c r="M542" s="14"/>
    </row>
    <row r="543" spans="2:13" s="7" customFormat="1" ht="13.5">
      <c r="B543" s="30"/>
      <c r="C543" s="30"/>
      <c r="D543" s="31"/>
      <c r="E543" s="35"/>
      <c r="F543" s="130"/>
      <c r="G543" s="14"/>
      <c r="H543" s="14"/>
      <c r="I543" s="14"/>
      <c r="J543" s="14"/>
      <c r="K543" s="14"/>
      <c r="L543" s="14"/>
      <c r="M543" s="14"/>
    </row>
    <row r="544" spans="2:13" s="7" customFormat="1" ht="13.5">
      <c r="B544" s="30"/>
      <c r="C544" s="30"/>
      <c r="D544" s="31"/>
      <c r="E544" s="35"/>
      <c r="F544" s="130"/>
      <c r="G544" s="14"/>
      <c r="H544" s="14"/>
      <c r="I544" s="14"/>
      <c r="J544" s="14"/>
      <c r="K544" s="14"/>
      <c r="L544" s="14"/>
      <c r="M544" s="14"/>
    </row>
    <row r="545" spans="2:13" s="7" customFormat="1" ht="13.5">
      <c r="B545" s="30"/>
      <c r="C545" s="30"/>
      <c r="D545" s="31"/>
      <c r="E545" s="35"/>
      <c r="F545" s="130"/>
      <c r="G545" s="14"/>
      <c r="H545" s="14"/>
      <c r="I545" s="14"/>
      <c r="J545" s="14"/>
      <c r="K545" s="14"/>
      <c r="L545" s="14"/>
      <c r="M545" s="14"/>
    </row>
    <row r="546" spans="2:13" s="7" customFormat="1" ht="13.5">
      <c r="B546" s="30"/>
      <c r="C546" s="30"/>
      <c r="D546" s="31"/>
      <c r="E546" s="35"/>
      <c r="F546" s="130"/>
      <c r="G546" s="14"/>
      <c r="H546" s="14"/>
      <c r="I546" s="14"/>
      <c r="J546" s="14"/>
      <c r="K546" s="14"/>
      <c r="L546" s="14"/>
      <c r="M546" s="14"/>
    </row>
    <row r="547" spans="2:13" s="7" customFormat="1" ht="13.5">
      <c r="B547" s="30"/>
      <c r="C547" s="30"/>
      <c r="D547" s="31"/>
      <c r="E547" s="35"/>
      <c r="F547" s="130"/>
      <c r="G547" s="14"/>
      <c r="H547" s="14"/>
      <c r="I547" s="14"/>
      <c r="J547" s="14"/>
      <c r="K547" s="14"/>
      <c r="L547" s="14"/>
      <c r="M547" s="14"/>
    </row>
    <row r="548" spans="2:13" s="7" customFormat="1" ht="13.5">
      <c r="B548" s="30"/>
      <c r="C548" s="30"/>
      <c r="D548" s="31"/>
      <c r="E548" s="35"/>
      <c r="F548" s="130"/>
      <c r="G548" s="14"/>
      <c r="H548" s="14"/>
      <c r="I548" s="14"/>
      <c r="J548" s="14"/>
      <c r="K548" s="14"/>
      <c r="L548" s="14"/>
      <c r="M548" s="14"/>
    </row>
    <row r="549" spans="2:13" s="7" customFormat="1" ht="13.5">
      <c r="B549" s="30"/>
      <c r="C549" s="30"/>
      <c r="D549" s="31"/>
      <c r="E549" s="35"/>
      <c r="F549" s="130"/>
      <c r="G549" s="14"/>
      <c r="H549" s="14"/>
      <c r="I549" s="14"/>
      <c r="J549" s="14"/>
      <c r="K549" s="14"/>
      <c r="L549" s="14"/>
      <c r="M549" s="14"/>
    </row>
    <row r="550" spans="2:13" s="7" customFormat="1" ht="13.5">
      <c r="B550" s="30"/>
      <c r="C550" s="30"/>
      <c r="D550" s="31"/>
      <c r="E550" s="35"/>
      <c r="F550" s="130"/>
      <c r="G550" s="14"/>
      <c r="H550" s="14"/>
      <c r="I550" s="14"/>
      <c r="J550" s="14"/>
      <c r="K550" s="14"/>
      <c r="L550" s="14"/>
      <c r="M550" s="14"/>
    </row>
    <row r="551" spans="2:13" s="7" customFormat="1" ht="13.5">
      <c r="B551" s="30"/>
      <c r="C551" s="30"/>
      <c r="D551" s="31"/>
      <c r="E551" s="35"/>
      <c r="F551" s="130"/>
      <c r="G551" s="14"/>
      <c r="H551" s="14"/>
      <c r="I551" s="14"/>
      <c r="J551" s="14"/>
      <c r="K551" s="14"/>
      <c r="L551" s="14"/>
      <c r="M551" s="14"/>
    </row>
    <row r="552" spans="2:13" s="7" customFormat="1" ht="13.5">
      <c r="B552" s="30"/>
      <c r="C552" s="30"/>
      <c r="D552" s="31"/>
      <c r="E552" s="35"/>
      <c r="F552" s="130"/>
      <c r="G552" s="14"/>
      <c r="H552" s="14"/>
      <c r="I552" s="14"/>
      <c r="J552" s="14"/>
      <c r="K552" s="14"/>
      <c r="L552" s="14"/>
      <c r="M552" s="14"/>
    </row>
    <row r="553" spans="2:13" s="7" customFormat="1" ht="13.5">
      <c r="B553" s="30"/>
      <c r="C553" s="30"/>
      <c r="D553" s="31"/>
      <c r="E553" s="35"/>
      <c r="F553" s="130"/>
      <c r="G553" s="14"/>
      <c r="H553" s="14"/>
      <c r="I553" s="14"/>
      <c r="J553" s="14"/>
      <c r="K553" s="14"/>
      <c r="L553" s="14"/>
      <c r="M553" s="14"/>
    </row>
    <row r="554" spans="2:13" s="7" customFormat="1" ht="13.5">
      <c r="B554" s="30"/>
      <c r="C554" s="30"/>
      <c r="D554" s="31"/>
      <c r="E554" s="35"/>
      <c r="F554" s="130"/>
      <c r="G554" s="14"/>
      <c r="H554" s="14"/>
      <c r="I554" s="14"/>
      <c r="J554" s="14"/>
      <c r="K554" s="14"/>
      <c r="L554" s="14"/>
      <c r="M554" s="14"/>
    </row>
    <row r="555" spans="2:13" s="7" customFormat="1" ht="13.5">
      <c r="B555" s="30"/>
      <c r="C555" s="30"/>
      <c r="D555" s="31"/>
      <c r="E555" s="35"/>
      <c r="F555" s="130"/>
      <c r="G555" s="14"/>
      <c r="H555" s="14"/>
      <c r="I555" s="14"/>
      <c r="J555" s="14"/>
      <c r="K555" s="14"/>
      <c r="L555" s="14"/>
      <c r="M555" s="14"/>
    </row>
    <row r="556" spans="2:13" s="7" customFormat="1" ht="13.5">
      <c r="B556" s="30"/>
      <c r="C556" s="30"/>
      <c r="D556" s="31"/>
      <c r="E556" s="35"/>
      <c r="F556" s="130"/>
      <c r="G556" s="14"/>
      <c r="H556" s="14"/>
      <c r="I556" s="14"/>
      <c r="J556" s="14"/>
      <c r="K556" s="14"/>
      <c r="L556" s="14"/>
      <c r="M556" s="14"/>
    </row>
    <row r="557" spans="2:13" s="7" customFormat="1" ht="13.5">
      <c r="B557" s="30"/>
      <c r="C557" s="30"/>
      <c r="D557" s="31"/>
      <c r="E557" s="35"/>
      <c r="F557" s="130"/>
      <c r="G557" s="14"/>
      <c r="H557" s="14"/>
      <c r="I557" s="14"/>
      <c r="J557" s="14"/>
      <c r="K557" s="14"/>
      <c r="L557" s="14"/>
      <c r="M557" s="14"/>
    </row>
    <row r="558" spans="2:13" s="7" customFormat="1" ht="13.5">
      <c r="B558" s="30"/>
      <c r="C558" s="30"/>
      <c r="D558" s="31"/>
      <c r="E558" s="35"/>
      <c r="F558" s="130"/>
      <c r="G558" s="14"/>
      <c r="H558" s="14"/>
      <c r="I558" s="14"/>
      <c r="J558" s="14"/>
      <c r="K558" s="14"/>
      <c r="L558" s="14"/>
      <c r="M558" s="14"/>
    </row>
    <row r="559" spans="2:13" s="7" customFormat="1" ht="13.5">
      <c r="B559" s="30"/>
      <c r="C559" s="30"/>
      <c r="D559" s="31"/>
      <c r="E559" s="35"/>
      <c r="F559" s="130"/>
      <c r="G559" s="14"/>
      <c r="H559" s="14"/>
      <c r="I559" s="14"/>
      <c r="J559" s="14"/>
      <c r="K559" s="14"/>
      <c r="L559" s="14"/>
      <c r="M559" s="14"/>
    </row>
    <row r="560" spans="2:13" s="7" customFormat="1" ht="13.5">
      <c r="B560" s="30"/>
      <c r="C560" s="30"/>
      <c r="D560" s="31"/>
      <c r="E560" s="35"/>
      <c r="F560" s="130"/>
      <c r="G560" s="14"/>
      <c r="H560" s="14"/>
      <c r="I560" s="14"/>
      <c r="J560" s="14"/>
      <c r="K560" s="14"/>
      <c r="L560" s="14"/>
      <c r="M560" s="14"/>
    </row>
    <row r="561" spans="2:13" s="7" customFormat="1" ht="13.5">
      <c r="B561" s="30"/>
      <c r="C561" s="30"/>
      <c r="D561" s="31"/>
      <c r="E561" s="35"/>
      <c r="F561" s="130"/>
      <c r="G561" s="14"/>
      <c r="H561" s="14"/>
      <c r="I561" s="14"/>
      <c r="J561" s="14"/>
      <c r="K561" s="14"/>
      <c r="L561" s="14"/>
      <c r="M561" s="14"/>
    </row>
    <row r="562" spans="2:13" s="7" customFormat="1" ht="13.5">
      <c r="B562" s="30"/>
      <c r="C562" s="30"/>
      <c r="D562" s="31"/>
      <c r="E562" s="35"/>
      <c r="F562" s="130"/>
      <c r="G562" s="14"/>
      <c r="H562" s="14"/>
      <c r="I562" s="14"/>
      <c r="J562" s="14"/>
      <c r="K562" s="14"/>
      <c r="L562" s="14"/>
      <c r="M562" s="14"/>
    </row>
    <row r="563" spans="2:13" s="7" customFormat="1" ht="13.5">
      <c r="B563" s="30"/>
      <c r="C563" s="30"/>
      <c r="D563" s="31"/>
      <c r="E563" s="35"/>
      <c r="F563" s="130"/>
      <c r="G563" s="14"/>
      <c r="H563" s="14"/>
      <c r="I563" s="14"/>
      <c r="J563" s="14"/>
      <c r="K563" s="14"/>
      <c r="L563" s="14"/>
      <c r="M563" s="14"/>
    </row>
    <row r="564" spans="2:13" s="7" customFormat="1" ht="13.5">
      <c r="B564" s="30"/>
      <c r="C564" s="30"/>
      <c r="D564" s="31"/>
      <c r="E564" s="35"/>
      <c r="F564" s="130"/>
      <c r="G564" s="14"/>
      <c r="H564" s="14"/>
      <c r="I564" s="14"/>
      <c r="J564" s="14"/>
      <c r="K564" s="14"/>
      <c r="L564" s="14"/>
      <c r="M564" s="14"/>
    </row>
    <row r="565" spans="2:13" s="7" customFormat="1" ht="13.5">
      <c r="B565" s="30"/>
      <c r="C565" s="30"/>
      <c r="D565" s="31"/>
      <c r="E565" s="35"/>
      <c r="F565" s="130"/>
      <c r="G565" s="14"/>
      <c r="H565" s="14"/>
      <c r="I565" s="14"/>
      <c r="J565" s="14"/>
      <c r="K565" s="14"/>
      <c r="L565" s="14"/>
      <c r="M565" s="14"/>
    </row>
    <row r="566" spans="2:13" s="7" customFormat="1" ht="13.5">
      <c r="B566" s="30"/>
      <c r="C566" s="30"/>
      <c r="D566" s="31"/>
      <c r="E566" s="35"/>
      <c r="F566" s="130"/>
      <c r="G566" s="14"/>
      <c r="H566" s="14"/>
      <c r="I566" s="14"/>
      <c r="J566" s="14"/>
      <c r="K566" s="14"/>
      <c r="L566" s="14"/>
      <c r="M566" s="14"/>
    </row>
    <row r="567" spans="2:13" s="7" customFormat="1" ht="13.5">
      <c r="B567" s="30"/>
      <c r="C567" s="30"/>
      <c r="D567" s="31"/>
      <c r="E567" s="35"/>
      <c r="F567" s="130"/>
      <c r="G567" s="14"/>
      <c r="H567" s="14"/>
      <c r="I567" s="14"/>
      <c r="J567" s="14"/>
      <c r="K567" s="14"/>
      <c r="L567" s="14"/>
      <c r="M567" s="14"/>
    </row>
    <row r="568" spans="2:13" s="7" customFormat="1" ht="13.5">
      <c r="B568" s="30"/>
      <c r="C568" s="30"/>
      <c r="D568" s="31"/>
      <c r="E568" s="35"/>
      <c r="F568" s="130"/>
      <c r="G568" s="14"/>
      <c r="H568" s="14"/>
      <c r="I568" s="14"/>
      <c r="J568" s="14"/>
      <c r="K568" s="14"/>
      <c r="L568" s="14"/>
      <c r="M568" s="14"/>
    </row>
    <row r="569" spans="2:13" s="7" customFormat="1" ht="13.5">
      <c r="B569" s="30"/>
      <c r="C569" s="30"/>
      <c r="D569" s="31"/>
      <c r="E569" s="35"/>
      <c r="F569" s="130"/>
      <c r="G569" s="14"/>
      <c r="H569" s="14"/>
      <c r="I569" s="14"/>
      <c r="J569" s="14"/>
      <c r="K569" s="14"/>
      <c r="L569" s="14"/>
      <c r="M569" s="14"/>
    </row>
    <row r="570" spans="2:13" s="7" customFormat="1" ht="13.5">
      <c r="B570" s="30"/>
      <c r="C570" s="30"/>
      <c r="D570" s="31"/>
      <c r="E570" s="35"/>
      <c r="F570" s="130"/>
      <c r="G570" s="14"/>
      <c r="H570" s="14"/>
      <c r="I570" s="14"/>
      <c r="J570" s="14"/>
      <c r="K570" s="14"/>
      <c r="L570" s="14"/>
      <c r="M570" s="14"/>
    </row>
    <row r="571" spans="2:13" s="7" customFormat="1" ht="13.5">
      <c r="B571" s="30"/>
      <c r="C571" s="30"/>
      <c r="D571" s="31"/>
      <c r="E571" s="35"/>
      <c r="F571" s="130"/>
      <c r="G571" s="14"/>
      <c r="H571" s="14"/>
      <c r="I571" s="14"/>
      <c r="J571" s="14"/>
      <c r="K571" s="14"/>
      <c r="L571" s="14"/>
      <c r="M571" s="14"/>
    </row>
    <row r="572" spans="2:13" s="7" customFormat="1" ht="13.5">
      <c r="B572" s="30"/>
      <c r="C572" s="30"/>
      <c r="D572" s="31"/>
      <c r="E572" s="35"/>
      <c r="F572" s="130"/>
      <c r="G572" s="14"/>
      <c r="H572" s="14"/>
      <c r="I572" s="14"/>
      <c r="J572" s="14"/>
      <c r="K572" s="14"/>
      <c r="L572" s="14"/>
      <c r="M572" s="14"/>
    </row>
    <row r="573" spans="2:13" s="7" customFormat="1" ht="13.5">
      <c r="B573" s="30"/>
      <c r="C573" s="30"/>
      <c r="D573" s="31"/>
      <c r="E573" s="35"/>
      <c r="F573" s="130"/>
      <c r="G573" s="14"/>
      <c r="H573" s="14"/>
      <c r="I573" s="14"/>
      <c r="J573" s="14"/>
      <c r="K573" s="14"/>
      <c r="L573" s="14"/>
      <c r="M573" s="14"/>
    </row>
    <row r="574" spans="2:13" s="7" customFormat="1" ht="13.5">
      <c r="B574" s="30"/>
      <c r="C574" s="30"/>
      <c r="D574" s="31"/>
      <c r="E574" s="35"/>
      <c r="F574" s="130"/>
      <c r="G574" s="14"/>
      <c r="H574" s="14"/>
      <c r="I574" s="14"/>
      <c r="J574" s="14"/>
      <c r="K574" s="14"/>
      <c r="L574" s="14"/>
      <c r="M574" s="14"/>
    </row>
    <row r="575" spans="2:13" s="7" customFormat="1" ht="13.5">
      <c r="B575" s="30"/>
      <c r="C575" s="30"/>
      <c r="D575" s="31"/>
      <c r="E575" s="35"/>
      <c r="F575" s="130"/>
      <c r="G575" s="14"/>
      <c r="H575" s="14"/>
      <c r="I575" s="14"/>
      <c r="J575" s="14"/>
      <c r="K575" s="14"/>
      <c r="L575" s="14"/>
      <c r="M575" s="14"/>
    </row>
    <row r="576" spans="2:13" s="7" customFormat="1" ht="13.5">
      <c r="B576" s="30"/>
      <c r="C576" s="30"/>
      <c r="D576" s="31"/>
      <c r="E576" s="35"/>
      <c r="F576" s="130"/>
      <c r="G576" s="14"/>
      <c r="H576" s="14"/>
      <c r="I576" s="14"/>
      <c r="J576" s="14"/>
      <c r="K576" s="14"/>
      <c r="L576" s="14"/>
      <c r="M576" s="14"/>
    </row>
    <row r="577" spans="2:13" s="7" customFormat="1" ht="13.5">
      <c r="B577" s="30"/>
      <c r="C577" s="30"/>
      <c r="D577" s="31"/>
      <c r="E577" s="35"/>
      <c r="F577" s="130"/>
      <c r="G577" s="14"/>
      <c r="H577" s="14"/>
      <c r="I577" s="14"/>
      <c r="J577" s="14"/>
      <c r="K577" s="14"/>
      <c r="L577" s="14"/>
      <c r="M577" s="14"/>
    </row>
    <row r="578" spans="2:13" s="7" customFormat="1" ht="13.5">
      <c r="B578" s="30"/>
      <c r="C578" s="30"/>
      <c r="D578" s="31"/>
      <c r="E578" s="35"/>
      <c r="F578" s="130"/>
      <c r="G578" s="14"/>
      <c r="H578" s="14"/>
      <c r="I578" s="14"/>
      <c r="J578" s="14"/>
      <c r="K578" s="14"/>
      <c r="L578" s="14"/>
      <c r="M578" s="14"/>
    </row>
    <row r="579" spans="2:13" s="7" customFormat="1" ht="13.5">
      <c r="B579" s="30"/>
      <c r="C579" s="30"/>
      <c r="D579" s="31"/>
      <c r="E579" s="35"/>
      <c r="F579" s="130"/>
      <c r="G579" s="14"/>
      <c r="H579" s="14"/>
      <c r="I579" s="14"/>
      <c r="J579" s="14"/>
      <c r="K579" s="14"/>
      <c r="L579" s="14"/>
      <c r="M579" s="14"/>
    </row>
    <row r="580" spans="2:13" s="7" customFormat="1" ht="13.5">
      <c r="B580" s="30"/>
      <c r="C580" s="30"/>
      <c r="D580" s="31"/>
      <c r="E580" s="35"/>
      <c r="F580" s="130"/>
      <c r="G580" s="14"/>
      <c r="H580" s="14"/>
      <c r="I580" s="14"/>
      <c r="J580" s="14"/>
      <c r="K580" s="14"/>
      <c r="L580" s="14"/>
      <c r="M580" s="14"/>
    </row>
    <row r="581" spans="2:13" s="7" customFormat="1" ht="13.5">
      <c r="B581" s="30"/>
      <c r="C581" s="30"/>
      <c r="D581" s="31"/>
      <c r="E581" s="35"/>
      <c r="F581" s="130"/>
      <c r="G581" s="14"/>
      <c r="H581" s="14"/>
      <c r="I581" s="14"/>
      <c r="J581" s="14"/>
      <c r="K581" s="14"/>
      <c r="L581" s="14"/>
      <c r="M581" s="14"/>
    </row>
    <row r="582" spans="2:13" s="7" customFormat="1" ht="13.5">
      <c r="B582" s="30"/>
      <c r="C582" s="30"/>
      <c r="D582" s="31"/>
      <c r="E582" s="35"/>
      <c r="F582" s="130"/>
      <c r="G582" s="14"/>
      <c r="H582" s="14"/>
      <c r="I582" s="14"/>
      <c r="J582" s="14"/>
      <c r="K582" s="14"/>
      <c r="L582" s="14"/>
      <c r="M582" s="14"/>
    </row>
    <row r="583" spans="2:13" s="7" customFormat="1" ht="13.5">
      <c r="B583" s="30"/>
      <c r="C583" s="30"/>
      <c r="D583" s="31"/>
      <c r="E583" s="35"/>
      <c r="F583" s="130"/>
      <c r="G583" s="14"/>
      <c r="H583" s="14"/>
      <c r="I583" s="14"/>
      <c r="J583" s="14"/>
      <c r="K583" s="14"/>
      <c r="L583" s="14"/>
      <c r="M583" s="14"/>
    </row>
    <row r="584" spans="2:13" s="7" customFormat="1" ht="13.5">
      <c r="B584" s="30"/>
      <c r="C584" s="30"/>
      <c r="D584" s="31"/>
      <c r="E584" s="35"/>
      <c r="F584" s="130"/>
      <c r="G584" s="14"/>
      <c r="H584" s="14"/>
      <c r="I584" s="14"/>
      <c r="J584" s="14"/>
      <c r="K584" s="14"/>
      <c r="L584" s="14"/>
      <c r="M584" s="14"/>
    </row>
    <row r="585" spans="2:13" s="7" customFormat="1" ht="13.5">
      <c r="B585" s="30"/>
      <c r="C585" s="30"/>
      <c r="D585" s="31"/>
      <c r="E585" s="35"/>
      <c r="F585" s="130"/>
      <c r="G585" s="14"/>
      <c r="H585" s="14"/>
      <c r="I585" s="14"/>
      <c r="J585" s="14"/>
      <c r="K585" s="14"/>
      <c r="L585" s="14"/>
      <c r="M585" s="14"/>
    </row>
    <row r="586" spans="2:13" s="7" customFormat="1" ht="13.5">
      <c r="B586" s="30"/>
      <c r="C586" s="30"/>
      <c r="D586" s="31"/>
      <c r="E586" s="35"/>
      <c r="F586" s="130"/>
      <c r="G586" s="14"/>
      <c r="H586" s="14"/>
      <c r="I586" s="14"/>
      <c r="J586" s="14"/>
      <c r="K586" s="14"/>
      <c r="L586" s="14"/>
      <c r="M586" s="14"/>
    </row>
    <row r="587" spans="2:13" s="7" customFormat="1" ht="13.5">
      <c r="B587" s="30"/>
      <c r="C587" s="30"/>
      <c r="D587" s="31"/>
      <c r="E587" s="35"/>
      <c r="F587" s="130"/>
      <c r="G587" s="14"/>
      <c r="H587" s="14"/>
      <c r="I587" s="14"/>
      <c r="J587" s="14"/>
      <c r="K587" s="14"/>
      <c r="L587" s="14"/>
      <c r="M587" s="14"/>
    </row>
    <row r="588" spans="2:13" s="7" customFormat="1" ht="13.5">
      <c r="B588" s="30"/>
      <c r="C588" s="30"/>
      <c r="D588" s="31"/>
      <c r="E588" s="35"/>
      <c r="F588" s="130"/>
      <c r="G588" s="14"/>
      <c r="H588" s="14"/>
      <c r="I588" s="14"/>
      <c r="J588" s="14"/>
      <c r="K588" s="14"/>
      <c r="L588" s="14"/>
      <c r="M588" s="14"/>
    </row>
    <row r="589" spans="2:13" s="7" customFormat="1" ht="13.5">
      <c r="B589" s="30"/>
      <c r="C589" s="30"/>
      <c r="D589" s="31"/>
      <c r="E589" s="35"/>
      <c r="F589" s="130"/>
      <c r="G589" s="14"/>
      <c r="H589" s="14"/>
      <c r="I589" s="14"/>
      <c r="J589" s="14"/>
      <c r="K589" s="14"/>
      <c r="L589" s="14"/>
      <c r="M589" s="14"/>
    </row>
    <row r="590" spans="2:13" s="7" customFormat="1" ht="13.5">
      <c r="B590" s="30"/>
      <c r="C590" s="30"/>
      <c r="D590" s="31"/>
      <c r="E590" s="35"/>
      <c r="F590" s="130"/>
      <c r="G590" s="14"/>
      <c r="H590" s="14"/>
      <c r="I590" s="14"/>
      <c r="J590" s="14"/>
      <c r="K590" s="14"/>
      <c r="L590" s="14"/>
      <c r="M590" s="14"/>
    </row>
    <row r="591" spans="2:13" s="7" customFormat="1" ht="13.5">
      <c r="B591" s="30"/>
      <c r="C591" s="30"/>
      <c r="D591" s="31"/>
      <c r="E591" s="35"/>
      <c r="F591" s="130"/>
      <c r="G591" s="14"/>
      <c r="H591" s="14"/>
      <c r="I591" s="14"/>
      <c r="J591" s="14"/>
      <c r="K591" s="14"/>
      <c r="L591" s="14"/>
      <c r="M591" s="14"/>
    </row>
    <row r="592" spans="2:13" s="7" customFormat="1" ht="13.5">
      <c r="B592" s="30"/>
      <c r="C592" s="30"/>
      <c r="D592" s="31"/>
      <c r="E592" s="35"/>
      <c r="F592" s="130"/>
      <c r="G592" s="14"/>
      <c r="H592" s="14"/>
      <c r="I592" s="14"/>
      <c r="J592" s="14"/>
      <c r="K592" s="14"/>
      <c r="L592" s="14"/>
      <c r="M592" s="14"/>
    </row>
    <row r="593" spans="2:13" s="7" customFormat="1" ht="13.5">
      <c r="B593" s="30"/>
      <c r="C593" s="30"/>
      <c r="D593" s="31"/>
      <c r="E593" s="35"/>
      <c r="F593" s="130"/>
      <c r="G593" s="14"/>
      <c r="H593" s="14"/>
      <c r="I593" s="14"/>
      <c r="J593" s="14"/>
      <c r="K593" s="14"/>
      <c r="L593" s="14"/>
      <c r="M593" s="14"/>
    </row>
    <row r="594" spans="2:13" s="7" customFormat="1" ht="13.5">
      <c r="B594" s="30"/>
      <c r="C594" s="30"/>
      <c r="D594" s="31"/>
      <c r="E594" s="35"/>
      <c r="F594" s="130"/>
      <c r="G594" s="14"/>
      <c r="H594" s="14"/>
      <c r="I594" s="14"/>
      <c r="J594" s="14"/>
      <c r="K594" s="14"/>
      <c r="L594" s="14"/>
      <c r="M594" s="14"/>
    </row>
    <row r="595" spans="2:13" s="7" customFormat="1" ht="13.5">
      <c r="B595" s="30"/>
      <c r="C595" s="30"/>
      <c r="D595" s="31"/>
      <c r="E595" s="35"/>
      <c r="F595" s="130"/>
      <c r="G595" s="14"/>
      <c r="H595" s="14"/>
      <c r="I595" s="14"/>
      <c r="J595" s="14"/>
      <c r="K595" s="14"/>
      <c r="L595" s="14"/>
      <c r="M595" s="14"/>
    </row>
    <row r="596" spans="2:13" s="7" customFormat="1" ht="13.5">
      <c r="B596" s="30"/>
      <c r="C596" s="30"/>
      <c r="D596" s="31"/>
      <c r="E596" s="35"/>
      <c r="F596" s="130"/>
      <c r="G596" s="14"/>
      <c r="H596" s="14"/>
      <c r="I596" s="14"/>
      <c r="J596" s="14"/>
      <c r="K596" s="14"/>
      <c r="L596" s="14"/>
      <c r="M596" s="14"/>
    </row>
    <row r="597" spans="2:13" s="7" customFormat="1" ht="13.5">
      <c r="B597" s="30"/>
      <c r="C597" s="30"/>
      <c r="D597" s="31"/>
      <c r="E597" s="35"/>
      <c r="F597" s="130"/>
      <c r="G597" s="14"/>
      <c r="H597" s="14"/>
      <c r="I597" s="14"/>
      <c r="J597" s="14"/>
      <c r="K597" s="14"/>
      <c r="L597" s="14"/>
      <c r="M597" s="14"/>
    </row>
    <row r="598" spans="2:13" s="7" customFormat="1" ht="13.5">
      <c r="B598" s="30"/>
      <c r="C598" s="30"/>
      <c r="D598" s="31"/>
      <c r="E598" s="35"/>
      <c r="F598" s="130"/>
      <c r="G598" s="14"/>
      <c r="H598" s="14"/>
      <c r="I598" s="14"/>
      <c r="J598" s="14"/>
      <c r="K598" s="14"/>
      <c r="L598" s="14"/>
      <c r="M598" s="14"/>
    </row>
    <row r="599" spans="2:13" s="7" customFormat="1" ht="13.5">
      <c r="B599" s="30"/>
      <c r="C599" s="30"/>
      <c r="D599" s="31"/>
      <c r="E599" s="35"/>
      <c r="F599" s="130"/>
      <c r="G599" s="14"/>
      <c r="H599" s="14"/>
      <c r="I599" s="14"/>
      <c r="J599" s="14"/>
      <c r="K599" s="14"/>
      <c r="L599" s="14"/>
      <c r="M599" s="14"/>
    </row>
    <row r="600" spans="2:13" s="7" customFormat="1" ht="13.5">
      <c r="B600" s="30"/>
      <c r="C600" s="30"/>
      <c r="D600" s="31"/>
      <c r="E600" s="35"/>
      <c r="F600" s="130"/>
      <c r="G600" s="14"/>
      <c r="H600" s="14"/>
      <c r="I600" s="14"/>
      <c r="J600" s="14"/>
      <c r="K600" s="14"/>
      <c r="L600" s="14"/>
      <c r="M600" s="14"/>
    </row>
    <row r="601" spans="2:13" s="7" customFormat="1" ht="13.5">
      <c r="B601" s="30"/>
      <c r="C601" s="30"/>
      <c r="D601" s="31"/>
      <c r="E601" s="35"/>
      <c r="F601" s="130"/>
      <c r="G601" s="14"/>
      <c r="H601" s="14"/>
      <c r="I601" s="14"/>
      <c r="J601" s="14"/>
      <c r="K601" s="14"/>
      <c r="L601" s="14"/>
      <c r="M601" s="14"/>
    </row>
    <row r="602" spans="2:13" s="7" customFormat="1" ht="13.5">
      <c r="B602" s="30"/>
      <c r="C602" s="30"/>
      <c r="D602" s="31"/>
      <c r="E602" s="35"/>
      <c r="F602" s="130"/>
      <c r="G602" s="14"/>
      <c r="H602" s="14"/>
      <c r="I602" s="14"/>
      <c r="J602" s="14"/>
      <c r="K602" s="14"/>
      <c r="L602" s="14"/>
      <c r="M602" s="14"/>
    </row>
    <row r="603" spans="2:13" s="7" customFormat="1" ht="13.5">
      <c r="B603" s="30"/>
      <c r="C603" s="30"/>
      <c r="D603" s="31"/>
      <c r="E603" s="35"/>
      <c r="F603" s="130"/>
      <c r="G603" s="14"/>
      <c r="H603" s="14"/>
      <c r="I603" s="14"/>
      <c r="J603" s="14"/>
      <c r="K603" s="14"/>
      <c r="L603" s="14"/>
      <c r="M603" s="14"/>
    </row>
    <row r="604" spans="2:13" s="7" customFormat="1" ht="13.5">
      <c r="B604" s="30"/>
      <c r="C604" s="30"/>
      <c r="D604" s="31"/>
      <c r="E604" s="35"/>
      <c r="F604" s="130"/>
      <c r="G604" s="14"/>
      <c r="H604" s="14"/>
      <c r="I604" s="14"/>
      <c r="J604" s="14"/>
      <c r="K604" s="14"/>
      <c r="L604" s="14"/>
      <c r="M604" s="14"/>
    </row>
    <row r="605" spans="2:13" s="7" customFormat="1" ht="13.5">
      <c r="B605" s="30"/>
      <c r="C605" s="30"/>
      <c r="D605" s="31"/>
      <c r="E605" s="35"/>
      <c r="F605" s="130"/>
      <c r="G605" s="14"/>
      <c r="H605" s="14"/>
      <c r="I605" s="14"/>
      <c r="J605" s="14"/>
      <c r="K605" s="14"/>
      <c r="L605" s="14"/>
      <c r="M605" s="14"/>
    </row>
    <row r="606" spans="2:13" s="7" customFormat="1" ht="13.5">
      <c r="B606" s="30"/>
      <c r="C606" s="30"/>
      <c r="D606" s="31"/>
      <c r="E606" s="35"/>
      <c r="F606" s="130"/>
      <c r="G606" s="14"/>
      <c r="H606" s="14"/>
      <c r="I606" s="14"/>
      <c r="J606" s="14"/>
      <c r="K606" s="14"/>
      <c r="L606" s="14"/>
      <c r="M606" s="14"/>
    </row>
    <row r="607" spans="2:13" s="7" customFormat="1" ht="13.5">
      <c r="B607" s="30"/>
      <c r="C607" s="30"/>
      <c r="D607" s="31"/>
      <c r="E607" s="35"/>
      <c r="F607" s="130"/>
      <c r="G607" s="14"/>
      <c r="H607" s="14"/>
      <c r="I607" s="14"/>
      <c r="J607" s="14"/>
      <c r="K607" s="14"/>
      <c r="L607" s="14"/>
      <c r="M607" s="14"/>
    </row>
    <row r="608" spans="2:13" s="7" customFormat="1" ht="13.5">
      <c r="B608" s="30"/>
      <c r="C608" s="30"/>
      <c r="D608" s="31"/>
      <c r="E608" s="35"/>
      <c r="F608" s="130"/>
      <c r="G608" s="14"/>
      <c r="H608" s="14"/>
      <c r="I608" s="14"/>
      <c r="J608" s="14"/>
      <c r="K608" s="14"/>
      <c r="L608" s="14"/>
      <c r="M608" s="14"/>
    </row>
    <row r="609" spans="2:13" s="7" customFormat="1" ht="13.5">
      <c r="B609" s="30"/>
      <c r="C609" s="30"/>
      <c r="D609" s="31"/>
      <c r="E609" s="35"/>
      <c r="F609" s="130"/>
      <c r="G609" s="14"/>
      <c r="H609" s="14"/>
      <c r="I609" s="14"/>
      <c r="J609" s="14"/>
      <c r="K609" s="14"/>
      <c r="L609" s="14"/>
      <c r="M609" s="14"/>
    </row>
    <row r="610" spans="2:13" s="7" customFormat="1" ht="13.5">
      <c r="B610" s="30"/>
      <c r="C610" s="30"/>
      <c r="D610" s="31"/>
      <c r="E610" s="35"/>
      <c r="F610" s="130"/>
      <c r="G610" s="14"/>
      <c r="H610" s="14"/>
      <c r="I610" s="14"/>
      <c r="J610" s="14"/>
      <c r="K610" s="14"/>
      <c r="L610" s="14"/>
      <c r="M610" s="14"/>
    </row>
    <row r="611" spans="2:13" s="7" customFormat="1" ht="13.5">
      <c r="B611" s="30"/>
      <c r="C611" s="30"/>
      <c r="D611" s="31"/>
      <c r="E611" s="35"/>
      <c r="F611" s="130"/>
      <c r="G611" s="14"/>
      <c r="H611" s="14"/>
      <c r="I611" s="14"/>
      <c r="J611" s="14"/>
      <c r="K611" s="14"/>
      <c r="L611" s="14"/>
      <c r="M611" s="14"/>
    </row>
    <row r="612" spans="2:13" s="7" customFormat="1" ht="13.5">
      <c r="B612" s="30"/>
      <c r="C612" s="30"/>
      <c r="D612" s="31"/>
      <c r="E612" s="35"/>
      <c r="F612" s="130"/>
      <c r="G612" s="14"/>
      <c r="H612" s="14"/>
      <c r="I612" s="14"/>
      <c r="J612" s="14"/>
      <c r="K612" s="14"/>
      <c r="L612" s="14"/>
      <c r="M612" s="14"/>
    </row>
    <row r="613" spans="2:13" s="7" customFormat="1" ht="13.5">
      <c r="B613" s="30"/>
      <c r="C613" s="30"/>
      <c r="D613" s="31"/>
      <c r="E613" s="35"/>
      <c r="F613" s="130"/>
      <c r="G613" s="14"/>
      <c r="H613" s="14"/>
      <c r="I613" s="14"/>
      <c r="J613" s="14"/>
      <c r="K613" s="14"/>
      <c r="L613" s="14"/>
      <c r="M613" s="14"/>
    </row>
    <row r="614" spans="2:13" s="7" customFormat="1" ht="13.5">
      <c r="B614" s="30"/>
      <c r="C614" s="30"/>
      <c r="D614" s="31"/>
      <c r="E614" s="35"/>
      <c r="F614" s="130"/>
      <c r="G614" s="14"/>
      <c r="H614" s="14"/>
      <c r="I614" s="14"/>
      <c r="J614" s="14"/>
      <c r="K614" s="14"/>
      <c r="L614" s="14"/>
      <c r="M614" s="14"/>
    </row>
    <row r="615" spans="2:13" s="7" customFormat="1" ht="13.5">
      <c r="B615" s="30"/>
      <c r="C615" s="30"/>
      <c r="D615" s="31"/>
      <c r="E615" s="35"/>
      <c r="F615" s="130"/>
      <c r="G615" s="14"/>
      <c r="H615" s="14"/>
      <c r="I615" s="14"/>
      <c r="J615" s="14"/>
      <c r="K615" s="14"/>
      <c r="L615" s="14"/>
      <c r="M615" s="14"/>
    </row>
    <row r="616" spans="2:13" s="7" customFormat="1" ht="13.5">
      <c r="B616" s="30"/>
      <c r="C616" s="30"/>
      <c r="D616" s="31"/>
      <c r="E616" s="35"/>
      <c r="F616" s="130"/>
      <c r="G616" s="14"/>
      <c r="H616" s="14"/>
      <c r="I616" s="14"/>
      <c r="J616" s="14"/>
      <c r="K616" s="14"/>
      <c r="L616" s="14"/>
      <c r="M616" s="14"/>
    </row>
    <row r="617" spans="2:13" s="7" customFormat="1" ht="13.5">
      <c r="B617" s="30"/>
      <c r="C617" s="30"/>
      <c r="D617" s="31"/>
      <c r="E617" s="35"/>
      <c r="F617" s="130"/>
      <c r="G617" s="14"/>
      <c r="H617" s="14"/>
      <c r="I617" s="14"/>
      <c r="J617" s="14"/>
      <c r="K617" s="14"/>
      <c r="L617" s="14"/>
      <c r="M617" s="14"/>
    </row>
    <row r="618" spans="2:13" s="7" customFormat="1" ht="13.5">
      <c r="B618" s="30"/>
      <c r="C618" s="30"/>
      <c r="D618" s="31"/>
      <c r="E618" s="35"/>
      <c r="F618" s="130"/>
      <c r="G618" s="14"/>
      <c r="H618" s="14"/>
      <c r="I618" s="14"/>
      <c r="J618" s="14"/>
      <c r="K618" s="14"/>
      <c r="L618" s="14"/>
      <c r="M618" s="14"/>
    </row>
    <row r="619" spans="2:13" s="7" customFormat="1" ht="13.5">
      <c r="B619" s="30"/>
      <c r="C619" s="30"/>
      <c r="D619" s="31"/>
      <c r="E619" s="35"/>
      <c r="F619" s="130"/>
      <c r="G619" s="14"/>
      <c r="H619" s="14"/>
      <c r="I619" s="14"/>
      <c r="J619" s="14"/>
      <c r="K619" s="14"/>
      <c r="L619" s="14"/>
      <c r="M619" s="14"/>
    </row>
    <row r="620" spans="2:13" s="7" customFormat="1" ht="13.5">
      <c r="B620" s="30"/>
      <c r="C620" s="30"/>
      <c r="D620" s="31"/>
      <c r="E620" s="35"/>
      <c r="F620" s="130"/>
      <c r="G620" s="14"/>
      <c r="H620" s="14"/>
      <c r="I620" s="14"/>
      <c r="J620" s="14"/>
      <c r="K620" s="14"/>
      <c r="L620" s="14"/>
      <c r="M620" s="14"/>
    </row>
    <row r="621" spans="2:13" s="7" customFormat="1" ht="13.5">
      <c r="B621" s="30"/>
      <c r="C621" s="30"/>
      <c r="D621" s="31"/>
      <c r="E621" s="35"/>
      <c r="F621" s="130"/>
      <c r="G621" s="14"/>
      <c r="H621" s="14"/>
      <c r="I621" s="14"/>
      <c r="J621" s="14"/>
      <c r="K621" s="14"/>
      <c r="L621" s="14"/>
      <c r="M621" s="14"/>
    </row>
    <row r="622" spans="2:13" s="7" customFormat="1" ht="13.5">
      <c r="B622" s="30"/>
      <c r="C622" s="30"/>
      <c r="D622" s="31"/>
      <c r="E622" s="35"/>
      <c r="F622" s="130"/>
      <c r="G622" s="14"/>
      <c r="H622" s="14"/>
      <c r="I622" s="14"/>
      <c r="J622" s="14"/>
      <c r="K622" s="14"/>
      <c r="L622" s="14"/>
      <c r="M622" s="14"/>
    </row>
    <row r="623" spans="2:13" s="7" customFormat="1" ht="13.5">
      <c r="B623" s="30"/>
      <c r="C623" s="30"/>
      <c r="D623" s="31"/>
      <c r="E623" s="35"/>
      <c r="F623" s="130"/>
      <c r="G623" s="14"/>
      <c r="H623" s="14"/>
      <c r="I623" s="14"/>
      <c r="J623" s="14"/>
      <c r="K623" s="14"/>
      <c r="L623" s="14"/>
      <c r="M623" s="14"/>
    </row>
    <row r="624" spans="2:13" s="7" customFormat="1" ht="13.5">
      <c r="B624" s="30"/>
      <c r="C624" s="30"/>
      <c r="D624" s="31"/>
      <c r="E624" s="35"/>
      <c r="F624" s="130"/>
      <c r="G624" s="14"/>
      <c r="H624" s="14"/>
      <c r="I624" s="14"/>
      <c r="J624" s="14"/>
      <c r="K624" s="14"/>
      <c r="L624" s="14"/>
      <c r="M624" s="14"/>
    </row>
    <row r="625" spans="2:13" s="7" customFormat="1" ht="13.5">
      <c r="B625" s="30"/>
      <c r="C625" s="30"/>
      <c r="D625" s="31"/>
      <c r="E625" s="35"/>
      <c r="F625" s="130"/>
      <c r="G625" s="14"/>
      <c r="H625" s="14"/>
      <c r="I625" s="14"/>
      <c r="J625" s="14"/>
      <c r="K625" s="14"/>
      <c r="L625" s="14"/>
      <c r="M625" s="14"/>
    </row>
    <row r="626" spans="2:13" s="7" customFormat="1" ht="13.5">
      <c r="B626" s="30"/>
      <c r="C626" s="30"/>
      <c r="D626" s="31"/>
      <c r="E626" s="35"/>
      <c r="F626" s="130"/>
      <c r="G626" s="14"/>
      <c r="H626" s="14"/>
      <c r="I626" s="14"/>
      <c r="J626" s="14"/>
      <c r="K626" s="14"/>
      <c r="L626" s="14"/>
      <c r="M626" s="14"/>
    </row>
    <row r="627" spans="2:13" s="7" customFormat="1" ht="13.5">
      <c r="B627" s="30"/>
      <c r="C627" s="30"/>
      <c r="D627" s="31"/>
      <c r="E627" s="35"/>
      <c r="F627" s="130"/>
      <c r="G627" s="14"/>
      <c r="H627" s="14"/>
      <c r="I627" s="14"/>
      <c r="J627" s="14"/>
      <c r="K627" s="14"/>
      <c r="L627" s="14"/>
      <c r="M627" s="14"/>
    </row>
    <row r="628" spans="2:13" s="7" customFormat="1" ht="13.5">
      <c r="B628" s="30"/>
      <c r="C628" s="30"/>
      <c r="D628" s="31"/>
      <c r="E628" s="35"/>
      <c r="F628" s="130"/>
      <c r="G628" s="14"/>
      <c r="H628" s="14"/>
      <c r="I628" s="14"/>
      <c r="J628" s="14"/>
      <c r="K628" s="14"/>
      <c r="L628" s="14"/>
      <c r="M628" s="14"/>
    </row>
    <row r="629" spans="2:13" s="7" customFormat="1" ht="13.5">
      <c r="B629" s="30"/>
      <c r="C629" s="30"/>
      <c r="D629" s="31"/>
      <c r="E629" s="35"/>
      <c r="F629" s="130"/>
      <c r="G629" s="14"/>
      <c r="H629" s="14"/>
      <c r="I629" s="14"/>
      <c r="J629" s="14"/>
      <c r="K629" s="14"/>
      <c r="L629" s="14"/>
      <c r="M629" s="14"/>
    </row>
    <row r="630" spans="2:13" s="7" customFormat="1" ht="13.5">
      <c r="B630" s="30"/>
      <c r="C630" s="30"/>
      <c r="D630" s="31"/>
      <c r="E630" s="35"/>
      <c r="F630" s="130"/>
      <c r="G630" s="14"/>
      <c r="H630" s="14"/>
      <c r="I630" s="14"/>
      <c r="J630" s="14"/>
      <c r="K630" s="14"/>
      <c r="L630" s="14"/>
      <c r="M630" s="14"/>
    </row>
    <row r="631" spans="2:13" s="7" customFormat="1" ht="13.5">
      <c r="B631" s="30"/>
      <c r="C631" s="30"/>
      <c r="D631" s="31"/>
      <c r="E631" s="35"/>
      <c r="F631" s="130"/>
      <c r="G631" s="14"/>
      <c r="H631" s="14"/>
      <c r="I631" s="14"/>
      <c r="J631" s="14"/>
      <c r="K631" s="14"/>
      <c r="L631" s="14"/>
      <c r="M631" s="14"/>
    </row>
    <row r="632" spans="2:13" s="7" customFormat="1" ht="13.5">
      <c r="B632" s="30"/>
      <c r="C632" s="30"/>
      <c r="D632" s="31"/>
      <c r="E632" s="35"/>
      <c r="F632" s="130"/>
      <c r="G632" s="14"/>
      <c r="H632" s="14"/>
      <c r="I632" s="14"/>
      <c r="J632" s="14"/>
      <c r="K632" s="14"/>
      <c r="L632" s="14"/>
      <c r="M632" s="14"/>
    </row>
    <row r="633" spans="2:13" s="7" customFormat="1" ht="13.5">
      <c r="B633" s="30"/>
      <c r="C633" s="30"/>
      <c r="D633" s="31"/>
      <c r="E633" s="35"/>
      <c r="F633" s="130"/>
      <c r="G633" s="14"/>
      <c r="H633" s="14"/>
      <c r="I633" s="14"/>
      <c r="J633" s="14"/>
      <c r="K633" s="14"/>
      <c r="L633" s="14"/>
      <c r="M633" s="14"/>
    </row>
    <row r="634" spans="2:13" s="7" customFormat="1" ht="13.5">
      <c r="B634" s="30"/>
      <c r="C634" s="30"/>
      <c r="D634" s="31"/>
      <c r="E634" s="35"/>
      <c r="F634" s="130"/>
      <c r="G634" s="14"/>
      <c r="H634" s="14"/>
      <c r="I634" s="14"/>
      <c r="J634" s="14"/>
      <c r="K634" s="14"/>
      <c r="L634" s="14"/>
      <c r="M634" s="14"/>
    </row>
    <row r="635" spans="2:13" s="7" customFormat="1" ht="13.5">
      <c r="B635" s="30"/>
      <c r="C635" s="30"/>
      <c r="D635" s="31"/>
      <c r="E635" s="35"/>
      <c r="F635" s="130"/>
      <c r="G635" s="14"/>
      <c r="H635" s="14"/>
      <c r="I635" s="14"/>
      <c r="J635" s="14"/>
      <c r="K635" s="14"/>
      <c r="L635" s="14"/>
      <c r="M635" s="14"/>
    </row>
    <row r="636" spans="2:13" s="7" customFormat="1" ht="13.5">
      <c r="B636" s="30"/>
      <c r="C636" s="30"/>
      <c r="D636" s="31"/>
      <c r="E636" s="35"/>
      <c r="F636" s="130"/>
      <c r="G636" s="14"/>
      <c r="H636" s="14"/>
      <c r="I636" s="14"/>
      <c r="J636" s="14"/>
      <c r="K636" s="14"/>
      <c r="L636" s="14"/>
      <c r="M636" s="14"/>
    </row>
    <row r="637" spans="2:13" s="7" customFormat="1" ht="13.5">
      <c r="B637" s="30"/>
      <c r="C637" s="30"/>
      <c r="D637" s="31"/>
      <c r="E637" s="35"/>
      <c r="F637" s="130"/>
      <c r="G637" s="14"/>
      <c r="H637" s="14"/>
      <c r="I637" s="14"/>
      <c r="J637" s="14"/>
      <c r="K637" s="14"/>
      <c r="L637" s="14"/>
      <c r="M637" s="14"/>
    </row>
    <row r="638" spans="2:13" s="7" customFormat="1" ht="13.5">
      <c r="B638" s="30"/>
      <c r="C638" s="30"/>
      <c r="D638" s="31"/>
      <c r="E638" s="35"/>
      <c r="F638" s="130"/>
      <c r="G638" s="14"/>
      <c r="H638" s="14"/>
      <c r="I638" s="14"/>
      <c r="J638" s="14"/>
      <c r="K638" s="14"/>
      <c r="L638" s="14"/>
      <c r="M638" s="14"/>
    </row>
    <row r="639" spans="2:13" s="7" customFormat="1" ht="13.5">
      <c r="B639" s="30"/>
      <c r="C639" s="30"/>
      <c r="D639" s="31"/>
      <c r="E639" s="35"/>
      <c r="F639" s="130"/>
      <c r="G639" s="14"/>
      <c r="H639" s="14"/>
      <c r="I639" s="14"/>
      <c r="J639" s="14"/>
      <c r="K639" s="14"/>
      <c r="L639" s="14"/>
      <c r="M639" s="14"/>
    </row>
    <row r="640" spans="2:13" s="7" customFormat="1" ht="13.5">
      <c r="B640" s="30"/>
      <c r="C640" s="30"/>
      <c r="D640" s="31"/>
      <c r="E640" s="35"/>
      <c r="F640" s="130"/>
      <c r="G640" s="14"/>
      <c r="H640" s="14"/>
      <c r="I640" s="14"/>
      <c r="J640" s="14"/>
      <c r="K640" s="14"/>
      <c r="L640" s="14"/>
      <c r="M640" s="14"/>
    </row>
    <row r="641" spans="2:13" s="7" customFormat="1" ht="13.5">
      <c r="B641" s="30"/>
      <c r="C641" s="30"/>
      <c r="D641" s="31"/>
      <c r="E641" s="35"/>
      <c r="F641" s="130"/>
      <c r="G641" s="14"/>
      <c r="H641" s="14"/>
      <c r="I641" s="14"/>
      <c r="J641" s="14"/>
      <c r="K641" s="14"/>
      <c r="L641" s="14"/>
      <c r="M641" s="14"/>
    </row>
    <row r="642" spans="2:13" s="7" customFormat="1" ht="13.5">
      <c r="B642" s="30"/>
      <c r="C642" s="30"/>
      <c r="D642" s="31"/>
      <c r="E642" s="35"/>
      <c r="F642" s="130"/>
      <c r="G642" s="14"/>
      <c r="H642" s="14"/>
      <c r="I642" s="14"/>
      <c r="J642" s="14"/>
      <c r="K642" s="14"/>
      <c r="L642" s="14"/>
      <c r="M642" s="14"/>
    </row>
    <row r="643" spans="2:13" s="7" customFormat="1" ht="13.5">
      <c r="B643" s="30"/>
      <c r="C643" s="30"/>
      <c r="D643" s="31"/>
      <c r="E643" s="35"/>
      <c r="F643" s="130"/>
      <c r="G643" s="14"/>
      <c r="H643" s="14"/>
      <c r="I643" s="14"/>
      <c r="J643" s="14"/>
      <c r="K643" s="14"/>
      <c r="L643" s="14"/>
      <c r="M643" s="14"/>
    </row>
    <row r="644" spans="2:13" s="7" customFormat="1" ht="13.5">
      <c r="B644" s="30"/>
      <c r="C644" s="30"/>
      <c r="D644" s="31"/>
      <c r="E644" s="35"/>
      <c r="F644" s="130"/>
      <c r="G644" s="14"/>
      <c r="H644" s="14"/>
      <c r="I644" s="14"/>
      <c r="J644" s="14"/>
      <c r="K644" s="14"/>
      <c r="L644" s="14"/>
      <c r="M644" s="14"/>
    </row>
    <row r="645" spans="2:13" s="7" customFormat="1" ht="13.5">
      <c r="B645" s="30"/>
      <c r="C645" s="30"/>
      <c r="D645" s="31"/>
      <c r="E645" s="35"/>
      <c r="F645" s="130"/>
      <c r="G645" s="14"/>
      <c r="H645" s="14"/>
      <c r="I645" s="14"/>
      <c r="J645" s="14"/>
      <c r="K645" s="14"/>
      <c r="L645" s="14"/>
      <c r="M645" s="14"/>
    </row>
    <row r="646" spans="2:13" s="7" customFormat="1" ht="13.5">
      <c r="B646" s="30"/>
      <c r="C646" s="30"/>
      <c r="D646" s="31"/>
      <c r="E646" s="35"/>
      <c r="F646" s="130"/>
      <c r="G646" s="14"/>
      <c r="H646" s="14"/>
      <c r="I646" s="14"/>
      <c r="J646" s="14"/>
      <c r="K646" s="14"/>
      <c r="L646" s="14"/>
      <c r="M646" s="14"/>
    </row>
    <row r="647" spans="2:13" s="7" customFormat="1" ht="13.5">
      <c r="B647" s="30"/>
      <c r="C647" s="30"/>
      <c r="D647" s="31"/>
      <c r="E647" s="35"/>
      <c r="F647" s="130"/>
      <c r="G647" s="14"/>
      <c r="H647" s="14"/>
      <c r="I647" s="14"/>
      <c r="J647" s="14"/>
      <c r="K647" s="14"/>
      <c r="L647" s="14"/>
      <c r="M647" s="14"/>
    </row>
    <row r="648" spans="2:13" s="7" customFormat="1" ht="13.5">
      <c r="B648" s="30"/>
      <c r="C648" s="30"/>
      <c r="D648" s="31"/>
      <c r="E648" s="35"/>
      <c r="F648" s="130"/>
      <c r="G648" s="14"/>
      <c r="H648" s="14"/>
      <c r="I648" s="14"/>
      <c r="J648" s="14"/>
      <c r="K648" s="14"/>
      <c r="L648" s="14"/>
      <c r="M648" s="14"/>
    </row>
    <row r="649" spans="2:13" s="7" customFormat="1" ht="13.5">
      <c r="B649" s="30"/>
      <c r="C649" s="30"/>
      <c r="D649" s="31"/>
      <c r="E649" s="35"/>
      <c r="F649" s="130"/>
      <c r="G649" s="14"/>
      <c r="H649" s="14"/>
      <c r="I649" s="14"/>
      <c r="J649" s="14"/>
      <c r="K649" s="14"/>
      <c r="L649" s="14"/>
      <c r="M649" s="14"/>
    </row>
    <row r="650" spans="2:13" s="7" customFormat="1" ht="13.5">
      <c r="B650" s="30"/>
      <c r="C650" s="30"/>
      <c r="D650" s="31"/>
      <c r="E650" s="35"/>
      <c r="F650" s="130"/>
      <c r="G650" s="14"/>
      <c r="H650" s="14"/>
      <c r="I650" s="14"/>
      <c r="J650" s="14"/>
      <c r="K650" s="14"/>
      <c r="L650" s="14"/>
      <c r="M650" s="14"/>
    </row>
    <row r="651" spans="2:13" s="7" customFormat="1" ht="13.5">
      <c r="B651" s="30"/>
      <c r="C651" s="30"/>
      <c r="D651" s="31"/>
      <c r="E651" s="35"/>
      <c r="F651" s="130"/>
      <c r="G651" s="14"/>
      <c r="H651" s="14"/>
      <c r="I651" s="14"/>
      <c r="J651" s="14"/>
      <c r="K651" s="14"/>
      <c r="L651" s="14"/>
      <c r="M651" s="14"/>
    </row>
    <row r="652" spans="2:13" s="7" customFormat="1" ht="13.5">
      <c r="B652" s="30"/>
      <c r="C652" s="30"/>
      <c r="D652" s="31"/>
      <c r="E652" s="35"/>
      <c r="F652" s="130"/>
      <c r="G652" s="14"/>
      <c r="H652" s="14"/>
      <c r="I652" s="14"/>
      <c r="J652" s="14"/>
      <c r="K652" s="14"/>
      <c r="L652" s="14"/>
      <c r="M652" s="14"/>
    </row>
    <row r="653" spans="2:13" s="7" customFormat="1" ht="13.5">
      <c r="B653" s="30"/>
      <c r="C653" s="30"/>
      <c r="D653" s="31"/>
      <c r="E653" s="35"/>
      <c r="F653" s="130"/>
      <c r="G653" s="14"/>
      <c r="H653" s="14"/>
      <c r="I653" s="14"/>
      <c r="J653" s="14"/>
      <c r="K653" s="14"/>
      <c r="L653" s="14"/>
      <c r="M653" s="14"/>
    </row>
    <row r="654" spans="2:13" s="7" customFormat="1" ht="13.5">
      <c r="B654" s="30"/>
      <c r="C654" s="30"/>
      <c r="D654" s="31"/>
      <c r="E654" s="35"/>
      <c r="F654" s="130"/>
      <c r="G654" s="14"/>
      <c r="H654" s="14"/>
      <c r="I654" s="14"/>
      <c r="J654" s="14"/>
      <c r="K654" s="14"/>
      <c r="L654" s="14"/>
      <c r="M654" s="14"/>
    </row>
    <row r="655" spans="2:13" s="7" customFormat="1" ht="13.5">
      <c r="B655" s="30"/>
      <c r="C655" s="30"/>
      <c r="D655" s="31"/>
      <c r="E655" s="35"/>
      <c r="F655" s="130"/>
      <c r="G655" s="14"/>
      <c r="H655" s="14"/>
      <c r="I655" s="14"/>
      <c r="J655" s="14"/>
      <c r="K655" s="14"/>
      <c r="L655" s="14"/>
      <c r="M655" s="14"/>
    </row>
    <row r="656" spans="2:13" s="7" customFormat="1" ht="13.5">
      <c r="B656" s="30"/>
      <c r="C656" s="30"/>
      <c r="D656" s="31"/>
      <c r="E656" s="35"/>
      <c r="F656" s="130"/>
      <c r="G656" s="14"/>
      <c r="H656" s="14"/>
      <c r="I656" s="14"/>
      <c r="J656" s="14"/>
      <c r="K656" s="14"/>
      <c r="L656" s="14"/>
      <c r="M656" s="14"/>
    </row>
    <row r="657" spans="2:13" s="7" customFormat="1" ht="13.5">
      <c r="B657" s="30"/>
      <c r="C657" s="30"/>
      <c r="D657" s="31"/>
      <c r="E657" s="35"/>
      <c r="F657" s="130"/>
      <c r="G657" s="14"/>
      <c r="H657" s="14"/>
      <c r="I657" s="14"/>
      <c r="J657" s="14"/>
      <c r="K657" s="14"/>
      <c r="L657" s="14"/>
      <c r="M657" s="14"/>
    </row>
    <row r="658" spans="2:13" s="7" customFormat="1" ht="13.5">
      <c r="B658" s="30"/>
      <c r="C658" s="30"/>
      <c r="D658" s="31"/>
      <c r="E658" s="35"/>
      <c r="F658" s="130"/>
      <c r="G658" s="14"/>
      <c r="H658" s="14"/>
      <c r="I658" s="14"/>
      <c r="J658" s="14"/>
      <c r="K658" s="14"/>
      <c r="L658" s="14"/>
      <c r="M658" s="14"/>
    </row>
    <row r="659" spans="2:13" s="7" customFormat="1" ht="13.5">
      <c r="B659" s="30"/>
      <c r="C659" s="30"/>
      <c r="D659" s="31"/>
      <c r="E659" s="35"/>
      <c r="F659" s="130"/>
      <c r="G659" s="14"/>
      <c r="H659" s="14"/>
      <c r="I659" s="14"/>
      <c r="J659" s="14"/>
      <c r="K659" s="14"/>
      <c r="L659" s="14"/>
      <c r="M659" s="14"/>
    </row>
    <row r="660" spans="2:13" s="7" customFormat="1" ht="13.5">
      <c r="B660" s="30"/>
      <c r="C660" s="30"/>
      <c r="D660" s="31"/>
      <c r="E660" s="35"/>
      <c r="F660" s="130"/>
      <c r="G660" s="14"/>
      <c r="H660" s="14"/>
      <c r="I660" s="14"/>
      <c r="J660" s="14"/>
      <c r="K660" s="14"/>
      <c r="L660" s="14"/>
      <c r="M660" s="14"/>
    </row>
    <row r="661" spans="2:13" s="7" customFormat="1" ht="13.5">
      <c r="B661" s="30"/>
      <c r="C661" s="30"/>
      <c r="D661" s="31"/>
      <c r="E661" s="35"/>
      <c r="F661" s="130"/>
      <c r="G661" s="14"/>
      <c r="H661" s="14"/>
      <c r="I661" s="14"/>
      <c r="J661" s="14"/>
      <c r="K661" s="14"/>
      <c r="L661" s="14"/>
      <c r="M661" s="14"/>
    </row>
    <row r="662" spans="2:13" s="7" customFormat="1" ht="13.5">
      <c r="B662" s="30"/>
      <c r="C662" s="30"/>
      <c r="D662" s="31"/>
      <c r="E662" s="35"/>
      <c r="F662" s="130"/>
      <c r="G662" s="14"/>
      <c r="H662" s="14"/>
      <c r="I662" s="14"/>
      <c r="J662" s="14"/>
      <c r="K662" s="14"/>
      <c r="L662" s="14"/>
      <c r="M662" s="14"/>
    </row>
    <row r="663" spans="2:13" s="7" customFormat="1" ht="13.5">
      <c r="B663" s="30"/>
      <c r="C663" s="30"/>
      <c r="D663" s="31"/>
      <c r="E663" s="35"/>
      <c r="F663" s="130"/>
      <c r="G663" s="14"/>
      <c r="H663" s="14"/>
      <c r="I663" s="14"/>
      <c r="J663" s="14"/>
      <c r="K663" s="14"/>
      <c r="L663" s="14"/>
      <c r="M663" s="14"/>
    </row>
    <row r="664" spans="2:13" s="7" customFormat="1" ht="13.5">
      <c r="B664" s="30"/>
      <c r="C664" s="30"/>
      <c r="D664" s="31"/>
      <c r="E664" s="35"/>
      <c r="F664" s="130"/>
      <c r="G664" s="14"/>
      <c r="H664" s="14"/>
      <c r="I664" s="14"/>
      <c r="J664" s="14"/>
      <c r="K664" s="14"/>
      <c r="L664" s="14"/>
      <c r="M664" s="14"/>
    </row>
    <row r="665" spans="2:13" s="7" customFormat="1" ht="13.5">
      <c r="B665" s="30"/>
      <c r="C665" s="30"/>
      <c r="D665" s="31"/>
      <c r="E665" s="35"/>
      <c r="F665" s="130"/>
      <c r="G665" s="14"/>
      <c r="H665" s="14"/>
      <c r="I665" s="14"/>
      <c r="J665" s="14"/>
      <c r="K665" s="14"/>
      <c r="L665" s="14"/>
      <c r="M665" s="14"/>
    </row>
    <row r="666" spans="2:13" s="7" customFormat="1" ht="13.5">
      <c r="B666" s="30"/>
      <c r="C666" s="30"/>
      <c r="D666" s="31"/>
      <c r="E666" s="35"/>
      <c r="F666" s="130"/>
      <c r="G666" s="14"/>
      <c r="H666" s="14"/>
      <c r="I666" s="14"/>
      <c r="J666" s="14"/>
      <c r="K666" s="14"/>
      <c r="L666" s="14"/>
      <c r="M666" s="14"/>
    </row>
    <row r="667" spans="2:13" s="7" customFormat="1" ht="13.5">
      <c r="B667" s="30"/>
      <c r="C667" s="30"/>
      <c r="D667" s="31"/>
      <c r="E667" s="35"/>
      <c r="F667" s="130"/>
      <c r="G667" s="14"/>
      <c r="H667" s="14"/>
      <c r="I667" s="14"/>
      <c r="J667" s="14"/>
      <c r="K667" s="14"/>
      <c r="L667" s="14"/>
      <c r="M667" s="14"/>
    </row>
    <row r="668" spans="2:13" s="7" customFormat="1" ht="13.5">
      <c r="B668" s="30"/>
      <c r="C668" s="30"/>
      <c r="D668" s="31"/>
      <c r="E668" s="35"/>
      <c r="F668" s="130"/>
      <c r="G668" s="14"/>
      <c r="H668" s="14"/>
      <c r="I668" s="14"/>
      <c r="J668" s="14"/>
      <c r="K668" s="14"/>
      <c r="L668" s="14"/>
      <c r="M668" s="14"/>
    </row>
    <row r="669" spans="2:13" s="7" customFormat="1" ht="13.5">
      <c r="B669" s="30"/>
      <c r="C669" s="30"/>
      <c r="D669" s="31"/>
      <c r="E669" s="35"/>
      <c r="F669" s="130"/>
      <c r="G669" s="14"/>
      <c r="H669" s="14"/>
      <c r="I669" s="14"/>
      <c r="J669" s="14"/>
      <c r="K669" s="14"/>
      <c r="L669" s="14"/>
      <c r="M669" s="14"/>
    </row>
    <row r="670" spans="2:13" s="7" customFormat="1" ht="13.5">
      <c r="B670" s="30"/>
      <c r="C670" s="30"/>
      <c r="D670" s="31"/>
      <c r="E670" s="35"/>
      <c r="F670" s="130"/>
      <c r="G670" s="14"/>
      <c r="H670" s="14"/>
      <c r="I670" s="14"/>
      <c r="J670" s="14"/>
      <c r="K670" s="14"/>
      <c r="L670" s="14"/>
      <c r="M670" s="14"/>
    </row>
    <row r="671" spans="2:13" s="7" customFormat="1" ht="13.5">
      <c r="B671" s="30"/>
      <c r="C671" s="30"/>
      <c r="D671" s="31"/>
      <c r="E671" s="35"/>
      <c r="F671" s="130"/>
      <c r="G671" s="14"/>
      <c r="H671" s="14"/>
      <c r="I671" s="14"/>
      <c r="J671" s="14"/>
      <c r="K671" s="14"/>
      <c r="L671" s="14"/>
      <c r="M671" s="14"/>
    </row>
    <row r="672" spans="2:13" s="7" customFormat="1" ht="13.5">
      <c r="B672" s="30"/>
      <c r="C672" s="30"/>
      <c r="D672" s="31"/>
      <c r="E672" s="35"/>
      <c r="F672" s="130"/>
      <c r="G672" s="14"/>
      <c r="H672" s="14"/>
      <c r="I672" s="14"/>
      <c r="J672" s="14"/>
      <c r="K672" s="14"/>
      <c r="L672" s="14"/>
      <c r="M672" s="14"/>
    </row>
    <row r="673" spans="2:13" s="7" customFormat="1" ht="13.5">
      <c r="B673" s="30"/>
      <c r="C673" s="30"/>
      <c r="D673" s="31"/>
      <c r="E673" s="35"/>
      <c r="F673" s="130"/>
      <c r="G673" s="14"/>
      <c r="H673" s="14"/>
      <c r="I673" s="14"/>
      <c r="J673" s="14"/>
      <c r="K673" s="14"/>
      <c r="L673" s="14"/>
      <c r="M673" s="14"/>
    </row>
    <row r="674" spans="2:13" s="7" customFormat="1" ht="13.5">
      <c r="B674" s="30"/>
      <c r="C674" s="30"/>
      <c r="D674" s="31"/>
      <c r="E674" s="35"/>
      <c r="F674" s="130"/>
      <c r="G674" s="14"/>
      <c r="H674" s="14"/>
      <c r="I674" s="14"/>
      <c r="J674" s="14"/>
      <c r="K674" s="14"/>
      <c r="L674" s="14"/>
      <c r="M674" s="14"/>
    </row>
    <row r="675" spans="2:13" s="7" customFormat="1" ht="13.5">
      <c r="B675" s="30"/>
      <c r="C675" s="30"/>
      <c r="D675" s="31"/>
      <c r="E675" s="35"/>
      <c r="F675" s="130"/>
      <c r="G675" s="14"/>
      <c r="H675" s="14"/>
      <c r="I675" s="14"/>
      <c r="J675" s="14"/>
      <c r="K675" s="14"/>
      <c r="L675" s="14"/>
      <c r="M675" s="14"/>
    </row>
    <row r="676" spans="2:13" s="7" customFormat="1" ht="13.5">
      <c r="B676" s="30"/>
      <c r="C676" s="30"/>
      <c r="D676" s="31"/>
      <c r="E676" s="35"/>
      <c r="F676" s="130"/>
      <c r="G676" s="14"/>
      <c r="H676" s="14"/>
      <c r="I676" s="14"/>
      <c r="J676" s="14"/>
      <c r="K676" s="14"/>
      <c r="L676" s="14"/>
      <c r="M676" s="14"/>
    </row>
    <row r="677" spans="2:13" s="7" customFormat="1" ht="13.5">
      <c r="B677" s="30"/>
      <c r="C677" s="30"/>
      <c r="D677" s="31"/>
      <c r="E677" s="35"/>
      <c r="F677" s="130"/>
      <c r="G677" s="14"/>
      <c r="H677" s="14"/>
      <c r="I677" s="14"/>
      <c r="J677" s="14"/>
      <c r="K677" s="14"/>
      <c r="L677" s="14"/>
      <c r="M677" s="14"/>
    </row>
    <row r="678" spans="2:13" s="7" customFormat="1" ht="13.5">
      <c r="B678" s="30"/>
      <c r="C678" s="30"/>
      <c r="D678" s="31"/>
      <c r="E678" s="35"/>
      <c r="F678" s="130"/>
      <c r="G678" s="14"/>
      <c r="H678" s="14"/>
      <c r="I678" s="14"/>
      <c r="J678" s="14"/>
      <c r="K678" s="14"/>
      <c r="L678" s="14"/>
      <c r="M678" s="14"/>
    </row>
    <row r="679" spans="2:13" s="7" customFormat="1" ht="13.5">
      <c r="B679" s="30"/>
      <c r="C679" s="30"/>
      <c r="D679" s="31"/>
      <c r="E679" s="35"/>
      <c r="F679" s="130"/>
      <c r="G679" s="14"/>
      <c r="H679" s="14"/>
      <c r="I679" s="14"/>
      <c r="J679" s="14"/>
      <c r="K679" s="14"/>
      <c r="L679" s="14"/>
      <c r="M679" s="14"/>
    </row>
    <row r="680" spans="2:13" s="7" customFormat="1" ht="13.5">
      <c r="B680" s="30"/>
      <c r="C680" s="30"/>
      <c r="D680" s="31"/>
      <c r="E680" s="35"/>
      <c r="F680" s="130"/>
      <c r="G680" s="14"/>
      <c r="H680" s="14"/>
      <c r="I680" s="14"/>
      <c r="J680" s="14"/>
      <c r="K680" s="14"/>
      <c r="L680" s="14"/>
      <c r="M680" s="14"/>
    </row>
    <row r="681" spans="2:13" s="7" customFormat="1" ht="13.5">
      <c r="B681" s="30"/>
      <c r="C681" s="30"/>
      <c r="D681" s="31"/>
      <c r="E681" s="35"/>
      <c r="F681" s="130"/>
      <c r="G681" s="14"/>
      <c r="H681" s="14"/>
      <c r="I681" s="14"/>
      <c r="J681" s="14"/>
      <c r="K681" s="14"/>
      <c r="L681" s="14"/>
      <c r="M681" s="14"/>
    </row>
    <row r="682" spans="2:13" s="7" customFormat="1" ht="13.5">
      <c r="B682" s="30"/>
      <c r="C682" s="30"/>
      <c r="D682" s="31"/>
      <c r="E682" s="35"/>
      <c r="F682" s="130"/>
      <c r="G682" s="14"/>
      <c r="H682" s="14"/>
      <c r="I682" s="14"/>
      <c r="J682" s="14"/>
      <c r="K682" s="14"/>
      <c r="L682" s="14"/>
      <c r="M682" s="14"/>
    </row>
    <row r="683" spans="2:13" s="7" customFormat="1" ht="13.5">
      <c r="B683" s="30"/>
      <c r="C683" s="30"/>
      <c r="D683" s="31"/>
      <c r="E683" s="35"/>
      <c r="F683" s="130"/>
      <c r="G683" s="14"/>
      <c r="H683" s="14"/>
      <c r="I683" s="14"/>
      <c r="J683" s="14"/>
      <c r="K683" s="14"/>
      <c r="L683" s="14"/>
      <c r="M683" s="14"/>
    </row>
    <row r="684" spans="2:13" s="7" customFormat="1" ht="13.5">
      <c r="B684" s="30"/>
      <c r="C684" s="30"/>
      <c r="D684" s="31"/>
      <c r="E684" s="35"/>
      <c r="F684" s="130"/>
      <c r="G684" s="14"/>
      <c r="H684" s="14"/>
      <c r="I684" s="14"/>
      <c r="J684" s="14"/>
      <c r="K684" s="14"/>
      <c r="L684" s="14"/>
      <c r="M684" s="14"/>
    </row>
    <row r="685" spans="2:13" s="7" customFormat="1" ht="13.5">
      <c r="B685" s="30"/>
      <c r="C685" s="30"/>
      <c r="D685" s="31"/>
      <c r="E685" s="35"/>
      <c r="F685" s="130"/>
      <c r="G685" s="14"/>
      <c r="H685" s="14"/>
      <c r="I685" s="14"/>
      <c r="J685" s="14"/>
      <c r="K685" s="14"/>
      <c r="L685" s="14"/>
      <c r="M685" s="14"/>
    </row>
    <row r="686" spans="2:13" s="7" customFormat="1" ht="13.5">
      <c r="B686" s="30"/>
      <c r="C686" s="30"/>
      <c r="D686" s="31"/>
      <c r="E686" s="35"/>
      <c r="F686" s="130"/>
      <c r="G686" s="14"/>
      <c r="H686" s="14"/>
      <c r="I686" s="14"/>
      <c r="J686" s="14"/>
      <c r="K686" s="14"/>
      <c r="L686" s="14"/>
      <c r="M686" s="14"/>
    </row>
    <row r="687" spans="2:13" s="7" customFormat="1" ht="13.5">
      <c r="B687" s="30"/>
      <c r="C687" s="30"/>
      <c r="D687" s="31"/>
      <c r="E687" s="35"/>
      <c r="F687" s="130"/>
      <c r="G687" s="14"/>
      <c r="H687" s="14"/>
      <c r="I687" s="14"/>
      <c r="J687" s="14"/>
      <c r="K687" s="14"/>
      <c r="L687" s="14"/>
      <c r="M687" s="14"/>
    </row>
    <row r="688" spans="2:13" s="7" customFormat="1" ht="13.5">
      <c r="B688" s="30"/>
      <c r="C688" s="30"/>
      <c r="D688" s="31"/>
      <c r="E688" s="35"/>
      <c r="F688" s="130"/>
      <c r="G688" s="14"/>
      <c r="H688" s="14"/>
      <c r="I688" s="14"/>
      <c r="J688" s="14"/>
      <c r="K688" s="14"/>
      <c r="L688" s="14"/>
      <c r="M688" s="14"/>
    </row>
    <row r="689" spans="2:13" s="7" customFormat="1" ht="13.5">
      <c r="B689" s="30"/>
      <c r="C689" s="30"/>
      <c r="D689" s="31"/>
      <c r="E689" s="35"/>
      <c r="F689" s="130"/>
      <c r="G689" s="14"/>
      <c r="H689" s="14"/>
      <c r="I689" s="14"/>
      <c r="J689" s="14"/>
      <c r="K689" s="14"/>
      <c r="L689" s="14"/>
      <c r="M689" s="14"/>
    </row>
    <row r="690" spans="2:13" s="7" customFormat="1" ht="13.5">
      <c r="B690" s="30"/>
      <c r="C690" s="30"/>
      <c r="D690" s="31"/>
      <c r="E690" s="35"/>
      <c r="F690" s="130"/>
      <c r="G690" s="14"/>
      <c r="H690" s="14"/>
      <c r="I690" s="14"/>
      <c r="J690" s="14"/>
      <c r="K690" s="14"/>
      <c r="L690" s="14"/>
      <c r="M690" s="14"/>
    </row>
    <row r="691" spans="2:13" s="7" customFormat="1" ht="13.5">
      <c r="B691" s="30"/>
      <c r="C691" s="30"/>
      <c r="D691" s="31"/>
      <c r="E691" s="35"/>
      <c r="F691" s="130"/>
      <c r="G691" s="14"/>
      <c r="H691" s="14"/>
      <c r="I691" s="14"/>
      <c r="J691" s="14"/>
      <c r="K691" s="14"/>
      <c r="L691" s="14"/>
      <c r="M691" s="14"/>
    </row>
    <row r="692" spans="2:13" s="7" customFormat="1" ht="13.5">
      <c r="B692" s="30"/>
      <c r="C692" s="30"/>
      <c r="D692" s="31"/>
      <c r="E692" s="35"/>
      <c r="F692" s="130"/>
      <c r="G692" s="14"/>
      <c r="H692" s="14"/>
      <c r="I692" s="14"/>
      <c r="J692" s="14"/>
      <c r="K692" s="14"/>
      <c r="L692" s="14"/>
      <c r="M692" s="14"/>
    </row>
    <row r="693" spans="2:13" s="7" customFormat="1" ht="13.5">
      <c r="B693" s="30"/>
      <c r="C693" s="30"/>
      <c r="D693" s="31"/>
      <c r="E693" s="35"/>
      <c r="F693" s="130"/>
      <c r="G693" s="14"/>
      <c r="H693" s="14"/>
      <c r="I693" s="14"/>
      <c r="J693" s="14"/>
      <c r="K693" s="14"/>
      <c r="L693" s="14"/>
      <c r="M693" s="14"/>
    </row>
    <row r="694" spans="2:13" s="7" customFormat="1" ht="13.5">
      <c r="B694" s="30"/>
      <c r="C694" s="30"/>
      <c r="D694" s="31"/>
      <c r="E694" s="35"/>
      <c r="F694" s="130"/>
      <c r="G694" s="14"/>
      <c r="H694" s="14"/>
      <c r="I694" s="14"/>
      <c r="J694" s="14"/>
      <c r="K694" s="14"/>
      <c r="L694" s="14"/>
      <c r="M694" s="14"/>
    </row>
    <row r="695" spans="2:13" s="7" customFormat="1" ht="13.5">
      <c r="B695" s="30"/>
      <c r="C695" s="30"/>
      <c r="D695" s="31"/>
      <c r="E695" s="35"/>
      <c r="F695" s="130"/>
      <c r="G695" s="14"/>
      <c r="H695" s="14"/>
      <c r="I695" s="14"/>
      <c r="J695" s="14"/>
      <c r="K695" s="14"/>
      <c r="L695" s="14"/>
      <c r="M695" s="14"/>
    </row>
    <row r="696" spans="2:13" s="7" customFormat="1" ht="13.5">
      <c r="B696" s="30"/>
      <c r="C696" s="30"/>
      <c r="D696" s="31"/>
      <c r="E696" s="35"/>
      <c r="F696" s="130"/>
      <c r="G696" s="14"/>
      <c r="H696" s="14"/>
      <c r="I696" s="14"/>
      <c r="J696" s="14"/>
      <c r="K696" s="14"/>
      <c r="L696" s="14"/>
      <c r="M696" s="14"/>
    </row>
    <row r="697" spans="2:13" s="7" customFormat="1" ht="13.5">
      <c r="B697" s="30"/>
      <c r="C697" s="30"/>
      <c r="D697" s="31"/>
      <c r="E697" s="35"/>
      <c r="F697" s="130"/>
      <c r="G697" s="14"/>
      <c r="H697" s="14"/>
      <c r="I697" s="14"/>
      <c r="J697" s="14"/>
      <c r="K697" s="14"/>
      <c r="L697" s="14"/>
      <c r="M697" s="14"/>
    </row>
    <row r="698" spans="2:13" s="7" customFormat="1" ht="13.5">
      <c r="B698" s="30"/>
      <c r="C698" s="30"/>
      <c r="D698" s="31"/>
      <c r="E698" s="35"/>
      <c r="F698" s="130"/>
      <c r="G698" s="14"/>
      <c r="H698" s="14"/>
      <c r="I698" s="14"/>
      <c r="J698" s="14"/>
      <c r="K698" s="14"/>
      <c r="L698" s="14"/>
      <c r="M698" s="14"/>
    </row>
    <row r="699" spans="2:13" s="7" customFormat="1" ht="13.5">
      <c r="B699" s="30"/>
      <c r="C699" s="30"/>
      <c r="D699" s="31"/>
      <c r="E699" s="35"/>
      <c r="F699" s="130"/>
      <c r="G699" s="14"/>
      <c r="H699" s="14"/>
      <c r="I699" s="14"/>
      <c r="J699" s="14"/>
      <c r="K699" s="14"/>
      <c r="L699" s="14"/>
      <c r="M699" s="14"/>
    </row>
    <row r="700" spans="2:13" s="7" customFormat="1" ht="13.5">
      <c r="B700" s="30"/>
      <c r="C700" s="30"/>
      <c r="D700" s="31"/>
      <c r="E700" s="35"/>
      <c r="F700" s="130"/>
      <c r="G700" s="14"/>
      <c r="H700" s="14"/>
      <c r="I700" s="14"/>
      <c r="J700" s="14"/>
      <c r="K700" s="14"/>
      <c r="L700" s="14"/>
      <c r="M700" s="14"/>
    </row>
    <row r="701" spans="2:13" s="7" customFormat="1" ht="13.5">
      <c r="B701" s="30"/>
      <c r="C701" s="30"/>
      <c r="D701" s="31"/>
      <c r="E701" s="35"/>
      <c r="F701" s="130"/>
      <c r="G701" s="14"/>
      <c r="H701" s="14"/>
      <c r="I701" s="14"/>
      <c r="J701" s="14"/>
      <c r="K701" s="14"/>
      <c r="L701" s="14"/>
      <c r="M701" s="14"/>
    </row>
    <row r="702" spans="2:13" s="7" customFormat="1" ht="13.5">
      <c r="B702" s="30"/>
      <c r="C702" s="30"/>
      <c r="D702" s="31"/>
      <c r="E702" s="35"/>
      <c r="F702" s="130"/>
      <c r="G702" s="14"/>
      <c r="H702" s="14"/>
      <c r="I702" s="14"/>
      <c r="J702" s="14"/>
      <c r="K702" s="14"/>
      <c r="L702" s="14"/>
      <c r="M702" s="14"/>
    </row>
    <row r="703" spans="2:13" s="7" customFormat="1" ht="13.5">
      <c r="B703" s="30"/>
      <c r="C703" s="30"/>
      <c r="D703" s="31"/>
      <c r="E703" s="35"/>
      <c r="F703" s="130"/>
      <c r="G703" s="14"/>
      <c r="H703" s="14"/>
      <c r="I703" s="14"/>
      <c r="J703" s="14"/>
      <c r="K703" s="14"/>
      <c r="L703" s="14"/>
      <c r="M703" s="14"/>
    </row>
    <row r="704" spans="2:13" s="7" customFormat="1" ht="13.5">
      <c r="B704" s="30"/>
      <c r="C704" s="30"/>
      <c r="D704" s="31"/>
      <c r="E704" s="35"/>
      <c r="F704" s="130"/>
      <c r="G704" s="14"/>
      <c r="H704" s="14"/>
      <c r="I704" s="14"/>
      <c r="J704" s="14"/>
      <c r="K704" s="14"/>
      <c r="L704" s="14"/>
      <c r="M704" s="14"/>
    </row>
    <row r="705" spans="2:13" s="7" customFormat="1" ht="13.5">
      <c r="B705" s="30"/>
      <c r="C705" s="30"/>
      <c r="D705" s="31"/>
      <c r="E705" s="35"/>
      <c r="F705" s="130"/>
      <c r="G705" s="14"/>
      <c r="H705" s="14"/>
      <c r="I705" s="14"/>
      <c r="J705" s="14"/>
      <c r="K705" s="14"/>
      <c r="L705" s="14"/>
      <c r="M705" s="14"/>
    </row>
    <row r="706" spans="2:13" s="7" customFormat="1" ht="13.5">
      <c r="B706" s="30"/>
      <c r="C706" s="30"/>
      <c r="D706" s="31"/>
      <c r="E706" s="35"/>
      <c r="F706" s="130"/>
      <c r="G706" s="14"/>
      <c r="H706" s="14"/>
      <c r="I706" s="14"/>
      <c r="J706" s="14"/>
      <c r="K706" s="14"/>
      <c r="L706" s="14"/>
      <c r="M706" s="14"/>
    </row>
    <row r="707" spans="2:13" s="7" customFormat="1" ht="13.5">
      <c r="B707" s="30"/>
      <c r="C707" s="30"/>
      <c r="D707" s="31"/>
      <c r="E707" s="35"/>
      <c r="F707" s="130"/>
      <c r="G707" s="14"/>
      <c r="H707" s="14"/>
      <c r="I707" s="14"/>
      <c r="J707" s="14"/>
      <c r="K707" s="14"/>
      <c r="L707" s="14"/>
      <c r="M707" s="14"/>
    </row>
    <row r="708" spans="2:13" s="7" customFormat="1" ht="13.5">
      <c r="B708" s="30"/>
      <c r="C708" s="30"/>
      <c r="D708" s="31"/>
      <c r="E708" s="35"/>
      <c r="F708" s="130"/>
      <c r="G708" s="14"/>
      <c r="H708" s="14"/>
      <c r="I708" s="14"/>
      <c r="J708" s="14"/>
      <c r="K708" s="14"/>
      <c r="L708" s="14"/>
      <c r="M708" s="14"/>
    </row>
    <row r="709" spans="2:13" s="7" customFormat="1" ht="13.5">
      <c r="B709" s="30"/>
      <c r="C709" s="30"/>
      <c r="D709" s="31"/>
      <c r="E709" s="35"/>
      <c r="F709" s="130"/>
      <c r="G709" s="14"/>
      <c r="H709" s="14"/>
      <c r="I709" s="14"/>
      <c r="J709" s="14"/>
      <c r="K709" s="14"/>
      <c r="L709" s="14"/>
      <c r="M709" s="14"/>
    </row>
    <row r="710" spans="2:13" s="7" customFormat="1" ht="13.5">
      <c r="B710" s="30"/>
      <c r="C710" s="30"/>
      <c r="D710" s="31"/>
      <c r="E710" s="35"/>
      <c r="F710" s="130"/>
      <c r="G710" s="14"/>
      <c r="H710" s="14"/>
      <c r="I710" s="14"/>
      <c r="J710" s="14"/>
      <c r="K710" s="14"/>
      <c r="L710" s="14"/>
      <c r="M710" s="14"/>
    </row>
    <row r="711" spans="2:13" s="7" customFormat="1" ht="13.5">
      <c r="B711" s="30"/>
      <c r="C711" s="30"/>
      <c r="D711" s="31"/>
      <c r="E711" s="35"/>
      <c r="F711" s="130"/>
      <c r="G711" s="14"/>
      <c r="H711" s="14"/>
      <c r="I711" s="14"/>
      <c r="J711" s="14"/>
      <c r="K711" s="14"/>
      <c r="L711" s="14"/>
      <c r="M711" s="14"/>
    </row>
    <row r="712" spans="2:13" s="7" customFormat="1" ht="13.5">
      <c r="B712" s="30"/>
      <c r="C712" s="30"/>
      <c r="D712" s="31"/>
      <c r="E712" s="35"/>
      <c r="F712" s="130"/>
      <c r="G712" s="14"/>
      <c r="H712" s="14"/>
      <c r="I712" s="14"/>
      <c r="J712" s="14"/>
      <c r="K712" s="14"/>
      <c r="L712" s="14"/>
      <c r="M712" s="14"/>
    </row>
    <row r="713" spans="2:13" s="7" customFormat="1" ht="13.5">
      <c r="B713" s="30"/>
      <c r="C713" s="30"/>
      <c r="D713" s="31"/>
      <c r="E713" s="35"/>
      <c r="F713" s="130"/>
      <c r="G713" s="14"/>
      <c r="H713" s="14"/>
      <c r="I713" s="14"/>
      <c r="J713" s="14"/>
      <c r="K713" s="14"/>
      <c r="L713" s="14"/>
      <c r="M713" s="14"/>
    </row>
    <row r="714" spans="2:13" s="7" customFormat="1" ht="13.5">
      <c r="B714" s="30"/>
      <c r="C714" s="30"/>
      <c r="D714" s="31"/>
      <c r="E714" s="35"/>
      <c r="F714" s="130"/>
      <c r="G714" s="14"/>
      <c r="H714" s="14"/>
      <c r="I714" s="14"/>
      <c r="J714" s="14"/>
      <c r="K714" s="14"/>
      <c r="L714" s="14"/>
      <c r="M714" s="14"/>
    </row>
    <row r="715" spans="2:13" s="7" customFormat="1" ht="13.5">
      <c r="B715" s="30"/>
      <c r="C715" s="30"/>
      <c r="D715" s="31"/>
      <c r="E715" s="35"/>
      <c r="F715" s="130"/>
      <c r="G715" s="14"/>
      <c r="H715" s="14"/>
      <c r="I715" s="14"/>
      <c r="J715" s="14"/>
      <c r="K715" s="14"/>
      <c r="L715" s="14"/>
      <c r="M715" s="14"/>
    </row>
    <row r="716" spans="2:13" s="7" customFormat="1" ht="13.5">
      <c r="B716" s="30"/>
      <c r="C716" s="30"/>
      <c r="D716" s="31"/>
      <c r="E716" s="35"/>
      <c r="F716" s="130"/>
      <c r="G716" s="14"/>
      <c r="H716" s="14"/>
      <c r="I716" s="14"/>
      <c r="J716" s="14"/>
      <c r="K716" s="14"/>
      <c r="L716" s="14"/>
      <c r="M716" s="14"/>
    </row>
    <row r="717" spans="2:13" s="7" customFormat="1" ht="13.5">
      <c r="B717" s="30"/>
      <c r="C717" s="30"/>
      <c r="D717" s="31"/>
      <c r="E717" s="35"/>
      <c r="F717" s="130"/>
      <c r="G717" s="14"/>
      <c r="H717" s="14"/>
      <c r="I717" s="14"/>
      <c r="J717" s="14"/>
      <c r="K717" s="14"/>
      <c r="L717" s="14"/>
      <c r="M717" s="14"/>
    </row>
    <row r="718" spans="2:13" s="7" customFormat="1" ht="13.5">
      <c r="B718" s="30"/>
      <c r="C718" s="30"/>
      <c r="D718" s="31"/>
      <c r="E718" s="35"/>
      <c r="F718" s="130"/>
      <c r="G718" s="14"/>
      <c r="H718" s="14"/>
      <c r="I718" s="14"/>
      <c r="J718" s="14"/>
      <c r="K718" s="14"/>
      <c r="L718" s="14"/>
      <c r="M718" s="14"/>
    </row>
    <row r="719" spans="2:13" s="7" customFormat="1" ht="13.5">
      <c r="B719" s="30"/>
      <c r="C719" s="30"/>
      <c r="D719" s="31"/>
      <c r="E719" s="35"/>
      <c r="F719" s="130"/>
      <c r="G719" s="14"/>
      <c r="H719" s="14"/>
      <c r="I719" s="14"/>
      <c r="J719" s="14"/>
      <c r="K719" s="14"/>
      <c r="L719" s="14"/>
      <c r="M719" s="14"/>
    </row>
    <row r="720" spans="2:13" s="7" customFormat="1" ht="13.5">
      <c r="B720" s="30"/>
      <c r="C720" s="30"/>
      <c r="D720" s="31"/>
      <c r="E720" s="35"/>
      <c r="F720" s="130"/>
      <c r="G720" s="14"/>
      <c r="H720" s="14"/>
      <c r="I720" s="14"/>
      <c r="J720" s="14"/>
      <c r="K720" s="14"/>
      <c r="L720" s="14"/>
      <c r="M720" s="14"/>
    </row>
    <row r="721" spans="2:13" s="7" customFormat="1" ht="13.5">
      <c r="B721" s="30"/>
      <c r="C721" s="30"/>
      <c r="D721" s="31"/>
      <c r="E721" s="35"/>
      <c r="F721" s="130"/>
      <c r="G721" s="14"/>
      <c r="H721" s="14"/>
      <c r="I721" s="14"/>
      <c r="J721" s="14"/>
      <c r="K721" s="14"/>
      <c r="L721" s="14"/>
      <c r="M721" s="14"/>
    </row>
    <row r="722" spans="2:13" s="7" customFormat="1" ht="13.5">
      <c r="B722" s="30"/>
      <c r="C722" s="30"/>
      <c r="D722" s="31"/>
      <c r="E722" s="35"/>
      <c r="F722" s="130"/>
      <c r="G722" s="14"/>
      <c r="H722" s="14"/>
      <c r="I722" s="14"/>
      <c r="J722" s="14"/>
      <c r="K722" s="14"/>
      <c r="L722" s="14"/>
      <c r="M722" s="14"/>
    </row>
    <row r="723" spans="2:13" s="7" customFormat="1" ht="13.5">
      <c r="B723" s="30"/>
      <c r="C723" s="30"/>
      <c r="D723" s="31"/>
      <c r="E723" s="35"/>
      <c r="F723" s="130"/>
      <c r="G723" s="14"/>
      <c r="H723" s="14"/>
      <c r="I723" s="14"/>
      <c r="J723" s="14"/>
      <c r="K723" s="14"/>
      <c r="L723" s="14"/>
      <c r="M723" s="14"/>
    </row>
    <row r="724" spans="2:13" s="7" customFormat="1" ht="13.5">
      <c r="B724" s="30"/>
      <c r="C724" s="30"/>
      <c r="D724" s="31"/>
      <c r="E724" s="35"/>
      <c r="F724" s="130"/>
      <c r="G724" s="14"/>
      <c r="H724" s="14"/>
      <c r="I724" s="14"/>
      <c r="J724" s="14"/>
      <c r="K724" s="14"/>
      <c r="L724" s="14"/>
      <c r="M724" s="14"/>
    </row>
    <row r="725" spans="2:13" s="7" customFormat="1" ht="13.5">
      <c r="B725" s="30"/>
      <c r="C725" s="30"/>
      <c r="D725" s="31"/>
      <c r="E725" s="35"/>
      <c r="F725" s="130"/>
      <c r="G725" s="14"/>
      <c r="H725" s="14"/>
      <c r="I725" s="14"/>
      <c r="J725" s="14"/>
      <c r="K725" s="14"/>
      <c r="L725" s="14"/>
      <c r="M725" s="14"/>
    </row>
    <row r="726" spans="2:13" s="7" customFormat="1" ht="13.5">
      <c r="B726" s="30"/>
      <c r="C726" s="30"/>
      <c r="D726" s="31"/>
      <c r="E726" s="35"/>
      <c r="F726" s="130"/>
      <c r="G726" s="14"/>
      <c r="H726" s="14"/>
      <c r="I726" s="14"/>
      <c r="J726" s="14"/>
      <c r="K726" s="14"/>
      <c r="L726" s="14"/>
      <c r="M726" s="14"/>
    </row>
    <row r="727" spans="2:13" s="7" customFormat="1" ht="13.5">
      <c r="B727" s="30"/>
      <c r="C727" s="30"/>
      <c r="D727" s="31"/>
      <c r="E727" s="35"/>
      <c r="F727" s="130"/>
      <c r="G727" s="14"/>
      <c r="H727" s="14"/>
      <c r="I727" s="14"/>
      <c r="J727" s="14"/>
      <c r="K727" s="14"/>
      <c r="L727" s="14"/>
      <c r="M727" s="14"/>
    </row>
    <row r="728" spans="2:13" s="7" customFormat="1" ht="13.5">
      <c r="B728" s="30"/>
      <c r="C728" s="30"/>
      <c r="D728" s="31"/>
      <c r="E728" s="35"/>
      <c r="F728" s="130"/>
      <c r="G728" s="14"/>
      <c r="H728" s="14"/>
      <c r="I728" s="14"/>
      <c r="J728" s="14"/>
      <c r="K728" s="14"/>
      <c r="L728" s="14"/>
      <c r="M728" s="14"/>
    </row>
    <row r="729" spans="2:13" s="7" customFormat="1" ht="13.5">
      <c r="B729" s="30"/>
      <c r="C729" s="30"/>
      <c r="D729" s="31"/>
      <c r="E729" s="35"/>
      <c r="F729" s="130"/>
      <c r="G729" s="14"/>
      <c r="H729" s="14"/>
      <c r="I729" s="14"/>
      <c r="J729" s="14"/>
      <c r="K729" s="14"/>
      <c r="L729" s="14"/>
      <c r="M729" s="14"/>
    </row>
    <row r="730" spans="2:13" s="7" customFormat="1" ht="13.5">
      <c r="B730" s="30"/>
      <c r="C730" s="30"/>
      <c r="D730" s="31"/>
      <c r="E730" s="35"/>
      <c r="F730" s="130"/>
      <c r="G730" s="14"/>
      <c r="H730" s="14"/>
      <c r="I730" s="14"/>
      <c r="J730" s="14"/>
      <c r="K730" s="14"/>
      <c r="L730" s="14"/>
      <c r="M730" s="14"/>
    </row>
    <row r="731" spans="2:13" s="7" customFormat="1" ht="13.5">
      <c r="B731" s="30"/>
      <c r="C731" s="30"/>
      <c r="D731" s="31"/>
      <c r="E731" s="35"/>
      <c r="F731" s="130"/>
      <c r="G731" s="14"/>
      <c r="H731" s="14"/>
      <c r="I731" s="14"/>
      <c r="J731" s="14"/>
      <c r="K731" s="14"/>
      <c r="L731" s="14"/>
      <c r="M731" s="14"/>
    </row>
    <row r="732" spans="2:13" s="7" customFormat="1" ht="13.5">
      <c r="B732" s="30"/>
      <c r="C732" s="30"/>
      <c r="D732" s="31"/>
      <c r="E732" s="35"/>
      <c r="F732" s="130"/>
      <c r="G732" s="14"/>
      <c r="H732" s="14"/>
      <c r="I732" s="14"/>
      <c r="J732" s="14"/>
      <c r="K732" s="14"/>
      <c r="L732" s="14"/>
      <c r="M732" s="14"/>
    </row>
    <row r="733" spans="2:13" s="7" customFormat="1" ht="13.5">
      <c r="B733" s="30"/>
      <c r="C733" s="30"/>
      <c r="D733" s="31"/>
      <c r="E733" s="35"/>
      <c r="F733" s="130"/>
      <c r="G733" s="14"/>
      <c r="H733" s="14"/>
      <c r="I733" s="14"/>
      <c r="J733" s="14"/>
      <c r="K733" s="14"/>
      <c r="L733" s="14"/>
      <c r="M733" s="14"/>
    </row>
    <row r="734" spans="2:13" s="7" customFormat="1" ht="13.5">
      <c r="B734" s="30"/>
      <c r="C734" s="30"/>
      <c r="D734" s="31"/>
      <c r="E734" s="35"/>
      <c r="F734" s="130"/>
      <c r="G734" s="14"/>
      <c r="H734" s="14"/>
      <c r="I734" s="14"/>
      <c r="J734" s="14"/>
      <c r="K734" s="14"/>
      <c r="L734" s="14"/>
      <c r="M734" s="14"/>
    </row>
    <row r="735" spans="2:13" s="7" customFormat="1" ht="13.5">
      <c r="B735" s="30"/>
      <c r="C735" s="30"/>
      <c r="D735" s="31"/>
      <c r="E735" s="35"/>
      <c r="F735" s="130"/>
      <c r="G735" s="14"/>
      <c r="H735" s="14"/>
      <c r="I735" s="14"/>
      <c r="J735" s="14"/>
      <c r="K735" s="14"/>
      <c r="L735" s="14"/>
      <c r="M735" s="14"/>
    </row>
    <row r="736" spans="2:13" s="7" customFormat="1" ht="13.5">
      <c r="B736" s="30"/>
      <c r="C736" s="30"/>
      <c r="D736" s="31"/>
      <c r="E736" s="35"/>
      <c r="F736" s="130"/>
      <c r="G736" s="14"/>
      <c r="H736" s="14"/>
      <c r="I736" s="14"/>
      <c r="J736" s="14"/>
      <c r="K736" s="14"/>
      <c r="L736" s="14"/>
      <c r="M736" s="14"/>
    </row>
    <row r="737" spans="2:13" s="7" customFormat="1" ht="13.5">
      <c r="B737" s="30"/>
      <c r="C737" s="30"/>
      <c r="D737" s="31"/>
      <c r="E737" s="35"/>
      <c r="F737" s="130"/>
      <c r="G737" s="14"/>
      <c r="H737" s="14"/>
      <c r="I737" s="14"/>
      <c r="J737" s="14"/>
      <c r="K737" s="14"/>
      <c r="L737" s="14"/>
      <c r="M737" s="14"/>
    </row>
    <row r="738" spans="2:13" s="7" customFormat="1" ht="13.5">
      <c r="B738" s="30"/>
      <c r="C738" s="30"/>
      <c r="D738" s="31"/>
      <c r="E738" s="35"/>
      <c r="F738" s="130"/>
      <c r="G738" s="14"/>
      <c r="H738" s="14"/>
      <c r="I738" s="14"/>
      <c r="J738" s="14"/>
      <c r="K738" s="14"/>
      <c r="L738" s="14"/>
      <c r="M738" s="14"/>
    </row>
    <row r="739" spans="2:13" s="7" customFormat="1" ht="13.5">
      <c r="B739" s="30"/>
      <c r="C739" s="30"/>
      <c r="D739" s="31"/>
      <c r="E739" s="35"/>
      <c r="F739" s="130"/>
      <c r="G739" s="14"/>
      <c r="H739" s="14"/>
      <c r="I739" s="14"/>
      <c r="J739" s="14"/>
      <c r="K739" s="14"/>
      <c r="L739" s="14"/>
      <c r="M739" s="14"/>
    </row>
    <row r="740" spans="2:13" s="7" customFormat="1" ht="13.5">
      <c r="B740" s="30"/>
      <c r="C740" s="30"/>
      <c r="D740" s="31"/>
      <c r="E740" s="35"/>
      <c r="F740" s="130"/>
      <c r="G740" s="14"/>
      <c r="H740" s="14"/>
      <c r="I740" s="14"/>
      <c r="J740" s="14"/>
      <c r="K740" s="14"/>
      <c r="L740" s="14"/>
      <c r="M740" s="14"/>
    </row>
    <row r="741" spans="2:13" s="7" customFormat="1" ht="13.5">
      <c r="B741" s="30"/>
      <c r="C741" s="30"/>
      <c r="D741" s="31"/>
      <c r="E741" s="35"/>
      <c r="F741" s="130"/>
      <c r="G741" s="14"/>
      <c r="H741" s="14"/>
      <c r="I741" s="14"/>
      <c r="J741" s="14"/>
      <c r="K741" s="14"/>
      <c r="L741" s="14"/>
      <c r="M741" s="14"/>
    </row>
    <row r="742" spans="2:13" s="7" customFormat="1" ht="13.5">
      <c r="B742" s="30"/>
      <c r="C742" s="30"/>
      <c r="D742" s="31"/>
      <c r="E742" s="35"/>
      <c r="F742" s="130"/>
      <c r="G742" s="14"/>
      <c r="H742" s="14"/>
      <c r="I742" s="14"/>
      <c r="J742" s="14"/>
      <c r="K742" s="14"/>
      <c r="L742" s="14"/>
      <c r="M742" s="14"/>
    </row>
    <row r="743" spans="2:13" s="7" customFormat="1" ht="13.5">
      <c r="B743" s="30"/>
      <c r="C743" s="30"/>
      <c r="D743" s="31"/>
      <c r="E743" s="35"/>
      <c r="F743" s="130"/>
      <c r="G743" s="14"/>
      <c r="H743" s="14"/>
      <c r="I743" s="14"/>
      <c r="J743" s="14"/>
      <c r="K743" s="14"/>
      <c r="L743" s="14"/>
      <c r="M743" s="14"/>
    </row>
    <row r="744" spans="2:13" s="7" customFormat="1" ht="13.5">
      <c r="B744" s="30"/>
      <c r="C744" s="30"/>
      <c r="D744" s="31"/>
      <c r="E744" s="35"/>
      <c r="F744" s="130"/>
      <c r="G744" s="14"/>
      <c r="H744" s="14"/>
      <c r="I744" s="14"/>
      <c r="J744" s="14"/>
      <c r="K744" s="14"/>
      <c r="L744" s="14"/>
      <c r="M744" s="14"/>
    </row>
    <row r="745" spans="2:13" s="7" customFormat="1" ht="13.5">
      <c r="B745" s="30"/>
      <c r="C745" s="30"/>
      <c r="D745" s="31"/>
      <c r="E745" s="35"/>
      <c r="F745" s="130"/>
      <c r="G745" s="14"/>
      <c r="H745" s="14"/>
      <c r="I745" s="14"/>
      <c r="J745" s="14"/>
      <c r="K745" s="14"/>
      <c r="L745" s="14"/>
      <c r="M745" s="14"/>
    </row>
    <row r="746" spans="2:13" s="7" customFormat="1" ht="13.5">
      <c r="B746" s="30"/>
      <c r="C746" s="30"/>
      <c r="D746" s="31"/>
      <c r="E746" s="35"/>
      <c r="F746" s="130"/>
      <c r="G746" s="14"/>
      <c r="H746" s="14"/>
      <c r="I746" s="14"/>
      <c r="J746" s="14"/>
      <c r="K746" s="14"/>
      <c r="L746" s="14"/>
      <c r="M746" s="14"/>
    </row>
    <row r="747" spans="2:13" s="7" customFormat="1" ht="13.5">
      <c r="B747" s="30"/>
      <c r="C747" s="30"/>
      <c r="D747" s="31"/>
      <c r="E747" s="35"/>
      <c r="F747" s="130"/>
      <c r="G747" s="14"/>
      <c r="H747" s="14"/>
      <c r="I747" s="14"/>
      <c r="J747" s="14"/>
      <c r="K747" s="14"/>
      <c r="L747" s="14"/>
      <c r="M747" s="14"/>
    </row>
    <row r="748" spans="2:13" s="7" customFormat="1" ht="13.5">
      <c r="B748" s="30"/>
      <c r="C748" s="30"/>
      <c r="D748" s="31"/>
      <c r="E748" s="35"/>
      <c r="F748" s="130"/>
      <c r="G748" s="14"/>
      <c r="H748" s="14"/>
      <c r="I748" s="14"/>
      <c r="J748" s="14"/>
      <c r="K748" s="14"/>
      <c r="L748" s="14"/>
      <c r="M748" s="14"/>
    </row>
    <row r="749" spans="2:13" s="7" customFormat="1" ht="13.5">
      <c r="B749" s="30"/>
      <c r="C749" s="30"/>
      <c r="D749" s="31"/>
      <c r="E749" s="35"/>
      <c r="F749" s="130"/>
      <c r="G749" s="14"/>
      <c r="H749" s="14"/>
      <c r="I749" s="14"/>
      <c r="J749" s="14"/>
      <c r="K749" s="14"/>
      <c r="L749" s="14"/>
      <c r="M749" s="14"/>
    </row>
    <row r="750" spans="2:13" s="7" customFormat="1" ht="13.5">
      <c r="B750" s="30"/>
      <c r="C750" s="30"/>
      <c r="D750" s="31"/>
      <c r="E750" s="35"/>
      <c r="F750" s="130"/>
      <c r="G750" s="14"/>
      <c r="H750" s="14"/>
      <c r="I750" s="14"/>
      <c r="J750" s="14"/>
      <c r="K750" s="14"/>
      <c r="L750" s="14"/>
      <c r="M750" s="14"/>
    </row>
    <row r="751" spans="2:13" s="7" customFormat="1" ht="13.5">
      <c r="B751" s="30"/>
      <c r="C751" s="30"/>
      <c r="D751" s="31"/>
      <c r="E751" s="35"/>
      <c r="F751" s="130"/>
      <c r="G751" s="14"/>
      <c r="H751" s="14"/>
      <c r="I751" s="14"/>
      <c r="J751" s="14"/>
      <c r="K751" s="14"/>
      <c r="L751" s="14"/>
      <c r="M751" s="14"/>
    </row>
    <row r="752" spans="2:13" s="7" customFormat="1" ht="13.5">
      <c r="B752" s="30"/>
      <c r="C752" s="30"/>
      <c r="D752" s="31"/>
      <c r="E752" s="35"/>
      <c r="F752" s="130"/>
      <c r="G752" s="14"/>
      <c r="H752" s="14"/>
      <c r="I752" s="14"/>
      <c r="J752" s="14"/>
      <c r="K752" s="14"/>
      <c r="L752" s="14"/>
      <c r="M752" s="14"/>
    </row>
    <row r="753" spans="2:13" s="7" customFormat="1" ht="13.5">
      <c r="B753" s="30"/>
      <c r="C753" s="30"/>
      <c r="D753" s="31"/>
      <c r="E753" s="35"/>
      <c r="F753" s="130"/>
      <c r="G753" s="14"/>
      <c r="H753" s="14"/>
      <c r="I753" s="14"/>
      <c r="J753" s="14"/>
      <c r="K753" s="14"/>
      <c r="L753" s="14"/>
      <c r="M753" s="14"/>
    </row>
    <row r="754" spans="2:13" s="7" customFormat="1" ht="13.5">
      <c r="B754" s="30"/>
      <c r="C754" s="30"/>
      <c r="D754" s="31"/>
      <c r="E754" s="35"/>
      <c r="F754" s="130"/>
      <c r="G754" s="14"/>
      <c r="H754" s="14"/>
      <c r="I754" s="14"/>
      <c r="J754" s="14"/>
      <c r="K754" s="14"/>
      <c r="L754" s="14"/>
      <c r="M754" s="14"/>
    </row>
    <row r="755" spans="2:13" s="7" customFormat="1" ht="13.5">
      <c r="B755" s="30"/>
      <c r="C755" s="30"/>
      <c r="D755" s="31"/>
      <c r="E755" s="35"/>
      <c r="F755" s="130"/>
      <c r="G755" s="14"/>
      <c r="H755" s="14"/>
      <c r="I755" s="14"/>
      <c r="J755" s="14"/>
      <c r="K755" s="14"/>
      <c r="L755" s="14"/>
      <c r="M755" s="14"/>
    </row>
    <row r="756" spans="2:13" s="7" customFormat="1" ht="13.5">
      <c r="B756" s="30"/>
      <c r="C756" s="30"/>
      <c r="D756" s="31"/>
      <c r="E756" s="35"/>
      <c r="F756" s="130"/>
      <c r="G756" s="14"/>
      <c r="H756" s="14"/>
      <c r="I756" s="14"/>
      <c r="J756" s="14"/>
      <c r="K756" s="14"/>
      <c r="L756" s="14"/>
      <c r="M756" s="14"/>
    </row>
    <row r="757" spans="2:13" s="7" customFormat="1" ht="13.5">
      <c r="B757" s="30"/>
      <c r="C757" s="30"/>
      <c r="D757" s="31"/>
      <c r="E757" s="35"/>
      <c r="F757" s="130"/>
      <c r="G757" s="14"/>
      <c r="H757" s="14"/>
      <c r="I757" s="14"/>
      <c r="J757" s="14"/>
      <c r="K757" s="14"/>
      <c r="L757" s="14"/>
      <c r="M757" s="14"/>
    </row>
    <row r="758" spans="2:13" s="7" customFormat="1" ht="13.5">
      <c r="B758" s="30"/>
      <c r="C758" s="30"/>
      <c r="D758" s="31"/>
      <c r="E758" s="35"/>
      <c r="F758" s="130"/>
      <c r="G758" s="14"/>
      <c r="H758" s="14"/>
      <c r="I758" s="14"/>
      <c r="J758" s="14"/>
      <c r="K758" s="14"/>
      <c r="L758" s="14"/>
      <c r="M758" s="14"/>
    </row>
    <row r="759" spans="2:13" s="7" customFormat="1" ht="13.5">
      <c r="B759" s="30"/>
      <c r="C759" s="30"/>
      <c r="D759" s="31"/>
      <c r="E759" s="35"/>
      <c r="F759" s="130"/>
      <c r="G759" s="14"/>
      <c r="H759" s="14"/>
      <c r="I759" s="14"/>
      <c r="J759" s="14"/>
      <c r="K759" s="14"/>
      <c r="L759" s="14"/>
      <c r="M759" s="14"/>
    </row>
    <row r="760" spans="2:13" s="7" customFormat="1" ht="13.5">
      <c r="B760" s="30"/>
      <c r="C760" s="30"/>
      <c r="D760" s="31"/>
      <c r="E760" s="35"/>
      <c r="F760" s="130"/>
      <c r="G760" s="14"/>
      <c r="H760" s="14"/>
      <c r="I760" s="14"/>
      <c r="J760" s="14"/>
      <c r="K760" s="14"/>
      <c r="L760" s="14"/>
      <c r="M760" s="14"/>
    </row>
    <row r="761" spans="2:13" s="7" customFormat="1" ht="13.5">
      <c r="B761" s="30"/>
      <c r="C761" s="30"/>
      <c r="D761" s="31"/>
      <c r="E761" s="35"/>
      <c r="F761" s="130"/>
      <c r="G761" s="14"/>
      <c r="H761" s="14"/>
      <c r="I761" s="14"/>
      <c r="J761" s="14"/>
      <c r="K761" s="14"/>
      <c r="L761" s="14"/>
      <c r="M761" s="14"/>
    </row>
    <row r="762" spans="2:13" s="7" customFormat="1" ht="13.5">
      <c r="B762" s="30"/>
      <c r="C762" s="30"/>
      <c r="D762" s="31"/>
      <c r="E762" s="35"/>
      <c r="F762" s="130"/>
      <c r="G762" s="14"/>
      <c r="H762" s="14"/>
      <c r="I762" s="14"/>
      <c r="J762" s="14"/>
      <c r="K762" s="14"/>
      <c r="L762" s="14"/>
      <c r="M762" s="14"/>
    </row>
    <row r="763" spans="2:13" s="7" customFormat="1" ht="13.5">
      <c r="B763" s="30"/>
      <c r="C763" s="30"/>
      <c r="D763" s="31"/>
      <c r="E763" s="35"/>
      <c r="F763" s="130"/>
      <c r="G763" s="14"/>
      <c r="H763" s="14"/>
      <c r="I763" s="14"/>
      <c r="J763" s="14"/>
      <c r="K763" s="14"/>
      <c r="L763" s="14"/>
      <c r="M763" s="14"/>
    </row>
    <row r="764" spans="2:13" s="7" customFormat="1" ht="13.5">
      <c r="B764" s="30"/>
      <c r="C764" s="30"/>
      <c r="D764" s="31"/>
      <c r="E764" s="35"/>
      <c r="F764" s="130"/>
      <c r="G764" s="14"/>
      <c r="H764" s="14"/>
      <c r="I764" s="14"/>
      <c r="J764" s="14"/>
      <c r="K764" s="14"/>
      <c r="L764" s="14"/>
      <c r="M764" s="14"/>
    </row>
    <row r="765" spans="2:13" s="7" customFormat="1" ht="13.5">
      <c r="B765" s="30"/>
      <c r="C765" s="30"/>
      <c r="D765" s="31"/>
      <c r="E765" s="35"/>
      <c r="F765" s="130"/>
      <c r="G765" s="14"/>
      <c r="H765" s="14"/>
      <c r="I765" s="14"/>
      <c r="J765" s="14"/>
      <c r="K765" s="14"/>
      <c r="L765" s="14"/>
      <c r="M765" s="14"/>
    </row>
    <row r="766" spans="2:13" s="7" customFormat="1" ht="13.5">
      <c r="B766" s="30"/>
      <c r="C766" s="30"/>
      <c r="D766" s="31"/>
      <c r="E766" s="35"/>
      <c r="F766" s="130"/>
      <c r="G766" s="14"/>
      <c r="H766" s="14"/>
      <c r="I766" s="14"/>
      <c r="J766" s="14"/>
      <c r="K766" s="14"/>
      <c r="L766" s="14"/>
      <c r="M766" s="14"/>
    </row>
    <row r="767" spans="2:13" s="7" customFormat="1" ht="13.5">
      <c r="B767" s="30"/>
      <c r="C767" s="30"/>
      <c r="D767" s="31"/>
      <c r="E767" s="35"/>
      <c r="F767" s="130"/>
      <c r="G767" s="14"/>
      <c r="H767" s="14"/>
      <c r="I767" s="14"/>
      <c r="J767" s="14"/>
      <c r="K767" s="14"/>
      <c r="L767" s="14"/>
      <c r="M767" s="14"/>
    </row>
    <row r="768" spans="2:13" s="7" customFormat="1" ht="13.5">
      <c r="B768" s="30"/>
      <c r="C768" s="30"/>
      <c r="D768" s="31"/>
      <c r="E768" s="35"/>
      <c r="F768" s="130"/>
      <c r="G768" s="14"/>
      <c r="H768" s="14"/>
      <c r="I768" s="14"/>
      <c r="J768" s="14"/>
      <c r="K768" s="14"/>
      <c r="L768" s="14"/>
      <c r="M768" s="14"/>
    </row>
    <row r="769" spans="2:13" s="7" customFormat="1" ht="13.5">
      <c r="B769" s="30"/>
      <c r="C769" s="30"/>
      <c r="D769" s="31"/>
      <c r="E769" s="35"/>
      <c r="F769" s="130"/>
      <c r="G769" s="14"/>
      <c r="H769" s="14"/>
      <c r="I769" s="14"/>
      <c r="J769" s="14"/>
      <c r="K769" s="14"/>
      <c r="L769" s="14"/>
      <c r="M769" s="14"/>
    </row>
    <row r="770" spans="2:13" s="7" customFormat="1" ht="13.5">
      <c r="B770" s="30"/>
      <c r="C770" s="30"/>
      <c r="D770" s="31"/>
      <c r="E770" s="35"/>
      <c r="F770" s="130"/>
      <c r="G770" s="14"/>
      <c r="H770" s="14"/>
      <c r="I770" s="14"/>
      <c r="J770" s="14"/>
      <c r="K770" s="14"/>
      <c r="L770" s="14"/>
      <c r="M770" s="14"/>
    </row>
    <row r="771" spans="2:13" s="7" customFormat="1" ht="13.5">
      <c r="B771" s="30"/>
      <c r="C771" s="30"/>
      <c r="D771" s="31"/>
      <c r="E771" s="35"/>
      <c r="F771" s="130"/>
      <c r="G771" s="14"/>
      <c r="H771" s="14"/>
      <c r="I771" s="14"/>
      <c r="J771" s="14"/>
      <c r="K771" s="14"/>
      <c r="L771" s="14"/>
      <c r="M771" s="14"/>
    </row>
    <row r="772" spans="2:13" s="7" customFormat="1" ht="13.5">
      <c r="B772" s="30"/>
      <c r="C772" s="30"/>
      <c r="D772" s="31"/>
      <c r="E772" s="35"/>
      <c r="F772" s="130"/>
      <c r="G772" s="14"/>
      <c r="H772" s="14"/>
      <c r="I772" s="14"/>
      <c r="J772" s="14"/>
      <c r="K772" s="14"/>
      <c r="L772" s="14"/>
      <c r="M772" s="14"/>
    </row>
    <row r="773" spans="2:13" s="7" customFormat="1" ht="13.5">
      <c r="B773" s="30"/>
      <c r="C773" s="30"/>
      <c r="D773" s="31"/>
      <c r="E773" s="35"/>
      <c r="F773" s="130"/>
      <c r="G773" s="14"/>
      <c r="H773" s="14"/>
      <c r="I773" s="14"/>
      <c r="J773" s="14"/>
      <c r="K773" s="14"/>
      <c r="L773" s="14"/>
      <c r="M773" s="14"/>
    </row>
    <row r="774" spans="2:13" s="7" customFormat="1" ht="13.5">
      <c r="B774" s="30"/>
      <c r="C774" s="30"/>
      <c r="D774" s="31"/>
      <c r="E774" s="35"/>
      <c r="F774" s="130"/>
      <c r="G774" s="14"/>
      <c r="H774" s="14"/>
      <c r="I774" s="14"/>
      <c r="J774" s="14"/>
      <c r="K774" s="14"/>
      <c r="L774" s="14"/>
      <c r="M774" s="14"/>
    </row>
    <row r="775" spans="2:13" s="7" customFormat="1" ht="13.5">
      <c r="B775" s="30"/>
      <c r="C775" s="30"/>
      <c r="D775" s="31"/>
      <c r="E775" s="35"/>
      <c r="F775" s="130"/>
      <c r="G775" s="14"/>
      <c r="H775" s="14"/>
      <c r="I775" s="14"/>
      <c r="J775" s="14"/>
      <c r="K775" s="14"/>
      <c r="L775" s="14"/>
      <c r="M775" s="14"/>
    </row>
    <row r="776" spans="2:13" s="7" customFormat="1" ht="13.5">
      <c r="B776" s="30"/>
      <c r="C776" s="30"/>
      <c r="D776" s="31"/>
      <c r="E776" s="35"/>
      <c r="F776" s="130"/>
      <c r="G776" s="14"/>
      <c r="H776" s="14"/>
      <c r="I776" s="14"/>
      <c r="J776" s="14"/>
      <c r="K776" s="14"/>
      <c r="L776" s="14"/>
      <c r="M776" s="14"/>
    </row>
    <row r="777" spans="2:13" s="7" customFormat="1" ht="13.5">
      <c r="B777" s="30"/>
      <c r="C777" s="30"/>
      <c r="D777" s="31"/>
      <c r="E777" s="35"/>
      <c r="F777" s="130"/>
      <c r="G777" s="14"/>
      <c r="H777" s="14"/>
      <c r="I777" s="14"/>
      <c r="J777" s="14"/>
      <c r="K777" s="14"/>
      <c r="L777" s="14"/>
      <c r="M777" s="14"/>
    </row>
    <row r="778" spans="2:13" s="7" customFormat="1" ht="13.5">
      <c r="B778" s="30"/>
      <c r="C778" s="30"/>
      <c r="D778" s="31"/>
      <c r="E778" s="35"/>
      <c r="F778" s="130"/>
      <c r="G778" s="14"/>
      <c r="H778" s="14"/>
      <c r="I778" s="14"/>
      <c r="J778" s="14"/>
      <c r="K778" s="14"/>
      <c r="L778" s="14"/>
      <c r="M778" s="14"/>
    </row>
    <row r="779" spans="2:13" s="7" customFormat="1" ht="13.5">
      <c r="B779" s="30"/>
      <c r="C779" s="30"/>
      <c r="D779" s="31"/>
      <c r="E779" s="35"/>
      <c r="F779" s="130"/>
      <c r="G779" s="14"/>
      <c r="H779" s="14"/>
      <c r="I779" s="14"/>
      <c r="J779" s="14"/>
      <c r="K779" s="14"/>
      <c r="L779" s="14"/>
      <c r="M779" s="14"/>
    </row>
    <row r="780" spans="2:13" s="7" customFormat="1" ht="13.5">
      <c r="B780" s="30"/>
      <c r="C780" s="30"/>
      <c r="D780" s="31"/>
      <c r="E780" s="35"/>
      <c r="F780" s="130"/>
      <c r="G780" s="14"/>
      <c r="H780" s="14"/>
      <c r="I780" s="14"/>
      <c r="J780" s="14"/>
      <c r="K780" s="14"/>
      <c r="L780" s="14"/>
      <c r="M780" s="14"/>
    </row>
    <row r="781" spans="2:13" s="7" customFormat="1" ht="13.5">
      <c r="B781" s="30"/>
      <c r="C781" s="30"/>
      <c r="D781" s="31"/>
      <c r="E781" s="35"/>
      <c r="F781" s="130"/>
      <c r="G781" s="14"/>
      <c r="H781" s="14"/>
      <c r="I781" s="14"/>
      <c r="J781" s="14"/>
      <c r="K781" s="14"/>
      <c r="L781" s="14"/>
      <c r="M781" s="14"/>
    </row>
    <row r="782" spans="2:13" s="7" customFormat="1" ht="13.5">
      <c r="B782" s="30"/>
      <c r="C782" s="30"/>
      <c r="D782" s="31"/>
      <c r="E782" s="35"/>
      <c r="F782" s="130"/>
      <c r="G782" s="14"/>
      <c r="H782" s="14"/>
      <c r="I782" s="14"/>
      <c r="J782" s="14"/>
      <c r="K782" s="14"/>
      <c r="L782" s="14"/>
      <c r="M782" s="14"/>
    </row>
    <row r="783" spans="2:13" s="7" customFormat="1" ht="13.5">
      <c r="B783" s="30"/>
      <c r="C783" s="30"/>
      <c r="D783" s="31"/>
      <c r="E783" s="35"/>
      <c r="F783" s="130"/>
      <c r="G783" s="14"/>
      <c r="H783" s="14"/>
      <c r="I783" s="14"/>
      <c r="J783" s="14"/>
      <c r="K783" s="14"/>
      <c r="L783" s="14"/>
      <c r="M783" s="14"/>
    </row>
    <row r="784" spans="2:13" s="7" customFormat="1" ht="13.5">
      <c r="B784" s="30"/>
      <c r="C784" s="30"/>
      <c r="D784" s="31"/>
      <c r="E784" s="35"/>
      <c r="F784" s="130"/>
      <c r="G784" s="14"/>
      <c r="H784" s="14"/>
      <c r="I784" s="14"/>
      <c r="J784" s="14"/>
      <c r="K784" s="14"/>
      <c r="L784" s="14"/>
      <c r="M784" s="14"/>
    </row>
    <row r="785" spans="2:13" s="7" customFormat="1" ht="13.5">
      <c r="B785" s="30"/>
      <c r="C785" s="30"/>
      <c r="D785" s="31"/>
      <c r="E785" s="35"/>
      <c r="F785" s="130"/>
      <c r="G785" s="14"/>
      <c r="H785" s="14"/>
      <c r="I785" s="14"/>
      <c r="J785" s="14"/>
      <c r="K785" s="14"/>
      <c r="L785" s="14"/>
      <c r="M785" s="14"/>
    </row>
    <row r="786" spans="2:13" s="7" customFormat="1" ht="13.5">
      <c r="B786" s="30"/>
      <c r="C786" s="30"/>
      <c r="D786" s="31"/>
      <c r="E786" s="35"/>
      <c r="F786" s="130"/>
      <c r="G786" s="14"/>
      <c r="H786" s="14"/>
      <c r="I786" s="14"/>
      <c r="J786" s="14"/>
      <c r="K786" s="14"/>
      <c r="L786" s="14"/>
      <c r="M786" s="14"/>
    </row>
    <row r="787" spans="2:13" s="7" customFormat="1" ht="13.5">
      <c r="B787" s="30"/>
      <c r="C787" s="30"/>
      <c r="D787" s="31"/>
      <c r="E787" s="35"/>
      <c r="F787" s="130"/>
      <c r="G787" s="14"/>
      <c r="H787" s="14"/>
      <c r="I787" s="14"/>
      <c r="J787" s="14"/>
      <c r="K787" s="14"/>
      <c r="L787" s="14"/>
      <c r="M787" s="14"/>
    </row>
    <row r="788" spans="2:13" s="7" customFormat="1" ht="13.5">
      <c r="B788" s="30"/>
      <c r="C788" s="30"/>
      <c r="D788" s="31"/>
      <c r="E788" s="35"/>
      <c r="F788" s="130"/>
      <c r="G788" s="14"/>
      <c r="H788" s="14"/>
      <c r="I788" s="14"/>
      <c r="J788" s="14"/>
      <c r="K788" s="14"/>
      <c r="L788" s="14"/>
      <c r="M788" s="14"/>
    </row>
    <row r="789" spans="2:13" s="7" customFormat="1" ht="13.5">
      <c r="B789" s="30"/>
      <c r="C789" s="30"/>
      <c r="D789" s="31"/>
      <c r="E789" s="35"/>
      <c r="F789" s="130"/>
      <c r="G789" s="14"/>
      <c r="H789" s="14"/>
      <c r="I789" s="14"/>
      <c r="J789" s="14"/>
      <c r="K789" s="14"/>
      <c r="L789" s="14"/>
      <c r="M789" s="14"/>
    </row>
    <row r="790" spans="2:13" s="7" customFormat="1" ht="13.5">
      <c r="B790" s="30"/>
      <c r="C790" s="30"/>
      <c r="D790" s="31"/>
      <c r="E790" s="35"/>
      <c r="F790" s="130"/>
      <c r="G790" s="14"/>
      <c r="H790" s="14"/>
      <c r="I790" s="14"/>
      <c r="J790" s="14"/>
      <c r="K790" s="14"/>
      <c r="L790" s="14"/>
      <c r="M790" s="14"/>
    </row>
    <row r="791" spans="2:13" s="7" customFormat="1" ht="13.5">
      <c r="B791" s="30"/>
      <c r="C791" s="30"/>
      <c r="D791" s="31"/>
      <c r="E791" s="35"/>
      <c r="F791" s="130"/>
      <c r="G791" s="14"/>
      <c r="H791" s="14"/>
      <c r="I791" s="14"/>
      <c r="J791" s="14"/>
      <c r="K791" s="14"/>
      <c r="L791" s="14"/>
      <c r="M791" s="14"/>
    </row>
    <row r="792" spans="2:13" s="7" customFormat="1" ht="13.5">
      <c r="B792" s="30"/>
      <c r="C792" s="30"/>
      <c r="D792" s="31"/>
      <c r="E792" s="35"/>
      <c r="F792" s="130"/>
      <c r="G792" s="14"/>
      <c r="H792" s="14"/>
      <c r="I792" s="14"/>
      <c r="J792" s="14"/>
      <c r="K792" s="14"/>
      <c r="L792" s="14"/>
      <c r="M792" s="14"/>
    </row>
    <row r="793" spans="2:13" s="7" customFormat="1" ht="13.5">
      <c r="B793" s="30"/>
      <c r="C793" s="30"/>
      <c r="D793" s="31"/>
      <c r="E793" s="35"/>
      <c r="F793" s="130"/>
      <c r="G793" s="14"/>
      <c r="H793" s="14"/>
      <c r="I793" s="14"/>
      <c r="J793" s="14"/>
      <c r="K793" s="14"/>
      <c r="L793" s="14"/>
      <c r="M793" s="14"/>
    </row>
    <row r="794" spans="2:13" s="7" customFormat="1" ht="13.5">
      <c r="B794" s="30"/>
      <c r="C794" s="30"/>
      <c r="D794" s="31"/>
      <c r="E794" s="35"/>
      <c r="F794" s="130"/>
      <c r="G794" s="14"/>
      <c r="H794" s="14"/>
      <c r="I794" s="14"/>
      <c r="J794" s="14"/>
      <c r="K794" s="14"/>
      <c r="L794" s="14"/>
      <c r="M794" s="14"/>
    </row>
    <row r="795" spans="2:13" s="7" customFormat="1" ht="13.5">
      <c r="B795" s="30"/>
      <c r="C795" s="30"/>
      <c r="D795" s="31"/>
      <c r="E795" s="35"/>
      <c r="F795" s="130"/>
      <c r="G795" s="14"/>
      <c r="H795" s="14"/>
      <c r="I795" s="14"/>
      <c r="J795" s="14"/>
      <c r="K795" s="14"/>
      <c r="L795" s="14"/>
      <c r="M795" s="14"/>
    </row>
    <row r="796" spans="2:13" s="7" customFormat="1" ht="13.5">
      <c r="B796" s="30"/>
      <c r="C796" s="30"/>
      <c r="D796" s="31"/>
      <c r="E796" s="35"/>
      <c r="F796" s="130"/>
      <c r="G796" s="14"/>
      <c r="H796" s="14"/>
      <c r="I796" s="14"/>
      <c r="J796" s="14"/>
      <c r="K796" s="14"/>
      <c r="L796" s="14"/>
      <c r="M796" s="14"/>
    </row>
    <row r="797" spans="2:13" s="7" customFormat="1" ht="13.5">
      <c r="B797" s="30"/>
      <c r="C797" s="30"/>
      <c r="D797" s="31"/>
      <c r="E797" s="35"/>
      <c r="F797" s="130"/>
      <c r="G797" s="14"/>
      <c r="H797" s="14"/>
      <c r="I797" s="14"/>
      <c r="J797" s="14"/>
      <c r="K797" s="14"/>
      <c r="L797" s="14"/>
      <c r="M797" s="14"/>
    </row>
    <row r="798" spans="2:13" s="7" customFormat="1" ht="13.5">
      <c r="B798" s="30"/>
      <c r="C798" s="30"/>
      <c r="D798" s="31"/>
      <c r="E798" s="35"/>
      <c r="F798" s="130"/>
      <c r="G798" s="14"/>
      <c r="H798" s="14"/>
      <c r="I798" s="14"/>
      <c r="J798" s="14"/>
      <c r="K798" s="14"/>
      <c r="L798" s="14"/>
      <c r="M798" s="14"/>
    </row>
    <row r="799" spans="2:13" s="7" customFormat="1" ht="13.5">
      <c r="B799" s="30"/>
      <c r="C799" s="30"/>
      <c r="D799" s="31"/>
      <c r="E799" s="35"/>
      <c r="F799" s="130"/>
      <c r="G799" s="14"/>
      <c r="H799" s="14"/>
      <c r="I799" s="14"/>
      <c r="J799" s="14"/>
      <c r="K799" s="14"/>
      <c r="L799" s="14"/>
      <c r="M799" s="14"/>
    </row>
    <row r="800" spans="2:13" s="7" customFormat="1" ht="13.5">
      <c r="B800" s="30"/>
      <c r="C800" s="30"/>
      <c r="D800" s="31"/>
      <c r="E800" s="35"/>
      <c r="F800" s="130"/>
      <c r="G800" s="14"/>
      <c r="H800" s="14"/>
      <c r="I800" s="14"/>
      <c r="J800" s="14"/>
      <c r="K800" s="14"/>
      <c r="L800" s="14"/>
      <c r="M800" s="14"/>
    </row>
    <row r="801" spans="2:13" s="7" customFormat="1" ht="13.5">
      <c r="B801" s="30"/>
      <c r="C801" s="30"/>
      <c r="D801" s="31"/>
      <c r="E801" s="35"/>
      <c r="F801" s="130"/>
      <c r="G801" s="14"/>
      <c r="H801" s="14"/>
      <c r="I801" s="14"/>
      <c r="J801" s="14"/>
      <c r="K801" s="14"/>
      <c r="L801" s="14"/>
      <c r="M801" s="14"/>
    </row>
    <row r="802" spans="2:13" s="7" customFormat="1" ht="13.5">
      <c r="B802" s="30"/>
      <c r="C802" s="30"/>
      <c r="D802" s="31"/>
      <c r="E802" s="35"/>
      <c r="F802" s="130"/>
      <c r="G802" s="14"/>
      <c r="H802" s="14"/>
      <c r="I802" s="14"/>
      <c r="J802" s="14"/>
      <c r="K802" s="14"/>
      <c r="L802" s="14"/>
      <c r="M802" s="14"/>
    </row>
    <row r="803" spans="2:13" s="7" customFormat="1" ht="13.5">
      <c r="B803" s="30"/>
      <c r="C803" s="30"/>
      <c r="D803" s="31"/>
      <c r="E803" s="35"/>
      <c r="F803" s="130"/>
      <c r="G803" s="14"/>
      <c r="H803" s="14"/>
      <c r="I803" s="14"/>
      <c r="J803" s="14"/>
      <c r="K803" s="14"/>
      <c r="L803" s="14"/>
      <c r="M803" s="14"/>
    </row>
    <row r="804" spans="2:13" s="7" customFormat="1" ht="13.5">
      <c r="B804" s="30"/>
      <c r="C804" s="30"/>
      <c r="D804" s="31"/>
      <c r="E804" s="35"/>
      <c r="F804" s="130"/>
      <c r="G804" s="14"/>
      <c r="H804" s="14"/>
      <c r="I804" s="14"/>
      <c r="J804" s="14"/>
      <c r="K804" s="14"/>
      <c r="L804" s="14"/>
      <c r="M804" s="14"/>
    </row>
    <row r="805" spans="2:13" s="7" customFormat="1" ht="13.5">
      <c r="B805" s="30"/>
      <c r="C805" s="30"/>
      <c r="D805" s="31"/>
      <c r="E805" s="35"/>
      <c r="F805" s="130"/>
      <c r="G805" s="14"/>
      <c r="H805" s="14"/>
      <c r="I805" s="14"/>
      <c r="J805" s="14"/>
      <c r="K805" s="14"/>
      <c r="L805" s="14"/>
      <c r="M805" s="14"/>
    </row>
    <row r="806" spans="2:13" s="7" customFormat="1" ht="13.5">
      <c r="B806" s="30"/>
      <c r="C806" s="30"/>
      <c r="D806" s="31"/>
      <c r="E806" s="35"/>
      <c r="F806" s="130"/>
      <c r="G806" s="14"/>
      <c r="H806" s="14"/>
      <c r="I806" s="14"/>
      <c r="J806" s="14"/>
      <c r="K806" s="14"/>
      <c r="L806" s="14"/>
      <c r="M806" s="14"/>
    </row>
    <row r="807" spans="2:13" s="7" customFormat="1" ht="13.5">
      <c r="B807" s="30"/>
      <c r="C807" s="30"/>
      <c r="D807" s="31"/>
      <c r="E807" s="35"/>
      <c r="F807" s="130"/>
      <c r="G807" s="14"/>
      <c r="H807" s="14"/>
      <c r="I807" s="14"/>
      <c r="J807" s="14"/>
      <c r="K807" s="14"/>
      <c r="L807" s="14"/>
      <c r="M807" s="14"/>
    </row>
    <row r="808" spans="2:13" s="7" customFormat="1" ht="13.5">
      <c r="B808" s="30"/>
      <c r="C808" s="30"/>
      <c r="D808" s="31"/>
      <c r="E808" s="35"/>
      <c r="F808" s="130"/>
      <c r="G808" s="14"/>
      <c r="H808" s="14"/>
      <c r="I808" s="14"/>
      <c r="J808" s="14"/>
      <c r="K808" s="14"/>
      <c r="L808" s="14"/>
      <c r="M808" s="14"/>
    </row>
    <row r="809" spans="2:13" s="7" customFormat="1" ht="13.5">
      <c r="B809" s="30"/>
      <c r="C809" s="30"/>
      <c r="D809" s="31"/>
      <c r="E809" s="35"/>
      <c r="F809" s="130"/>
      <c r="G809" s="14"/>
      <c r="H809" s="14"/>
      <c r="I809" s="14"/>
      <c r="J809" s="14"/>
      <c r="K809" s="14"/>
      <c r="L809" s="14"/>
      <c r="M809" s="14"/>
    </row>
    <row r="810" spans="2:13" s="7" customFormat="1" ht="13.5">
      <c r="B810" s="30"/>
      <c r="C810" s="30"/>
      <c r="D810" s="31"/>
      <c r="E810" s="35"/>
      <c r="F810" s="130"/>
      <c r="G810" s="14"/>
      <c r="H810" s="14"/>
      <c r="I810" s="14"/>
      <c r="J810" s="14"/>
      <c r="K810" s="14"/>
      <c r="L810" s="14"/>
      <c r="M810" s="14"/>
    </row>
    <row r="811" spans="2:13" s="7" customFormat="1" ht="13.5">
      <c r="B811" s="30"/>
      <c r="C811" s="30"/>
      <c r="D811" s="31"/>
      <c r="E811" s="35"/>
      <c r="F811" s="130"/>
      <c r="G811" s="14"/>
      <c r="H811" s="14"/>
      <c r="I811" s="14"/>
      <c r="J811" s="14"/>
      <c r="K811" s="14"/>
      <c r="L811" s="14"/>
      <c r="M811" s="14"/>
    </row>
    <row r="812" spans="2:13" s="7" customFormat="1" ht="13.5">
      <c r="B812" s="30"/>
      <c r="C812" s="30"/>
      <c r="D812" s="31"/>
      <c r="E812" s="35"/>
      <c r="F812" s="130"/>
      <c r="G812" s="14"/>
      <c r="H812" s="14"/>
      <c r="I812" s="14"/>
      <c r="J812" s="14"/>
      <c r="K812" s="14"/>
      <c r="L812" s="14"/>
      <c r="M812" s="14"/>
    </row>
    <row r="813" spans="2:13" s="7" customFormat="1" ht="13.5">
      <c r="B813" s="30"/>
      <c r="C813" s="30"/>
      <c r="D813" s="31"/>
      <c r="E813" s="35"/>
      <c r="F813" s="130"/>
      <c r="G813" s="14"/>
      <c r="H813" s="14"/>
      <c r="I813" s="14"/>
      <c r="J813" s="14"/>
      <c r="K813" s="14"/>
      <c r="L813" s="14"/>
      <c r="M813" s="14"/>
    </row>
    <row r="814" spans="2:13" s="7" customFormat="1" ht="13.5">
      <c r="B814" s="30"/>
      <c r="C814" s="30"/>
      <c r="D814" s="31"/>
      <c r="E814" s="35"/>
      <c r="F814" s="130"/>
      <c r="G814" s="14"/>
      <c r="H814" s="14"/>
      <c r="I814" s="14"/>
      <c r="J814" s="14"/>
      <c r="K814" s="14"/>
      <c r="L814" s="14"/>
      <c r="M814" s="14"/>
    </row>
    <row r="815" spans="2:13" s="7" customFormat="1" ht="13.5">
      <c r="B815" s="30"/>
      <c r="C815" s="30"/>
      <c r="D815" s="31"/>
      <c r="E815" s="35"/>
      <c r="F815" s="130"/>
      <c r="G815" s="14"/>
      <c r="H815" s="14"/>
      <c r="I815" s="14"/>
      <c r="J815" s="14"/>
      <c r="K815" s="14"/>
      <c r="L815" s="14"/>
      <c r="M815" s="14"/>
    </row>
    <row r="816" spans="2:13" s="7" customFormat="1" ht="13.5">
      <c r="B816" s="30"/>
      <c r="C816" s="30"/>
      <c r="D816" s="31"/>
      <c r="E816" s="35"/>
      <c r="F816" s="130"/>
      <c r="G816" s="14"/>
      <c r="H816" s="14"/>
      <c r="I816" s="14"/>
      <c r="J816" s="14"/>
      <c r="K816" s="14"/>
      <c r="L816" s="14"/>
      <c r="M816" s="14"/>
    </row>
    <row r="817" spans="2:13" s="7" customFormat="1" ht="13.5">
      <c r="B817" s="30"/>
      <c r="C817" s="30"/>
      <c r="D817" s="31"/>
      <c r="E817" s="35"/>
      <c r="F817" s="130"/>
      <c r="G817" s="14"/>
      <c r="H817" s="14"/>
      <c r="I817" s="14"/>
      <c r="J817" s="14"/>
      <c r="K817" s="14"/>
      <c r="L817" s="14"/>
      <c r="M817" s="14"/>
    </row>
    <row r="818" spans="2:13" s="7" customFormat="1" ht="13.5">
      <c r="B818" s="30"/>
      <c r="C818" s="30"/>
      <c r="D818" s="31"/>
      <c r="E818" s="35"/>
      <c r="F818" s="130"/>
      <c r="G818" s="14"/>
      <c r="H818" s="14"/>
      <c r="I818" s="14"/>
      <c r="J818" s="14"/>
      <c r="K818" s="14"/>
      <c r="L818" s="14"/>
      <c r="M818" s="14"/>
    </row>
    <row r="819" spans="2:13" s="7" customFormat="1" ht="13.5">
      <c r="B819" s="30"/>
      <c r="C819" s="30"/>
      <c r="D819" s="31"/>
      <c r="E819" s="35"/>
      <c r="F819" s="130"/>
      <c r="G819" s="14"/>
      <c r="H819" s="14"/>
      <c r="I819" s="14"/>
      <c r="J819" s="14"/>
      <c r="K819" s="14"/>
      <c r="L819" s="14"/>
      <c r="M819" s="14"/>
    </row>
    <row r="820" spans="2:13" s="7" customFormat="1" ht="13.5">
      <c r="B820" s="30"/>
      <c r="C820" s="30"/>
      <c r="D820" s="31"/>
      <c r="E820" s="35"/>
      <c r="F820" s="130"/>
      <c r="G820" s="14"/>
      <c r="H820" s="14"/>
      <c r="I820" s="14"/>
      <c r="J820" s="14"/>
      <c r="K820" s="14"/>
      <c r="L820" s="14"/>
      <c r="M820" s="14"/>
    </row>
    <row r="821" spans="2:13" s="7" customFormat="1" ht="13.5">
      <c r="B821" s="30"/>
      <c r="C821" s="30"/>
      <c r="D821" s="31"/>
      <c r="E821" s="35"/>
      <c r="F821" s="130"/>
      <c r="G821" s="14"/>
      <c r="H821" s="14"/>
      <c r="I821" s="14"/>
      <c r="J821" s="14"/>
      <c r="K821" s="14"/>
      <c r="L821" s="14"/>
      <c r="M821" s="14"/>
    </row>
    <row r="822" spans="2:13" s="7" customFormat="1" ht="13.5">
      <c r="B822" s="30"/>
      <c r="C822" s="30"/>
      <c r="D822" s="31"/>
      <c r="E822" s="35"/>
      <c r="F822" s="130"/>
      <c r="G822" s="14"/>
      <c r="H822" s="14"/>
      <c r="I822" s="14"/>
      <c r="J822" s="14"/>
      <c r="K822" s="14"/>
      <c r="L822" s="14"/>
      <c r="M822" s="14"/>
    </row>
    <row r="823" spans="2:13" s="7" customFormat="1" ht="13.5">
      <c r="B823" s="30"/>
      <c r="C823" s="30"/>
      <c r="D823" s="31"/>
      <c r="E823" s="35"/>
      <c r="F823" s="130"/>
      <c r="G823" s="14"/>
      <c r="H823" s="14"/>
      <c r="I823" s="14"/>
      <c r="J823" s="14"/>
      <c r="K823" s="14"/>
      <c r="L823" s="14"/>
      <c r="M823" s="14"/>
    </row>
    <row r="824" spans="2:13" s="7" customFormat="1" ht="13.5">
      <c r="B824" s="30"/>
      <c r="C824" s="30"/>
      <c r="D824" s="31"/>
      <c r="E824" s="35"/>
      <c r="F824" s="130"/>
      <c r="G824" s="14"/>
      <c r="H824" s="14"/>
      <c r="I824" s="14"/>
      <c r="J824" s="14"/>
      <c r="K824" s="14"/>
      <c r="L824" s="14"/>
      <c r="M824" s="14"/>
    </row>
    <row r="825" spans="2:13" s="7" customFormat="1" ht="13.5">
      <c r="B825" s="30"/>
      <c r="C825" s="30"/>
      <c r="D825" s="31"/>
      <c r="E825" s="35"/>
      <c r="F825" s="130"/>
      <c r="G825" s="14"/>
      <c r="H825" s="14"/>
      <c r="I825" s="14"/>
      <c r="J825" s="14"/>
      <c r="K825" s="14"/>
      <c r="L825" s="14"/>
      <c r="M825" s="14"/>
    </row>
    <row r="826" spans="2:13" s="7" customFormat="1" ht="13.5">
      <c r="B826" s="30"/>
      <c r="C826" s="30"/>
      <c r="D826" s="31"/>
      <c r="E826" s="35"/>
      <c r="F826" s="130"/>
      <c r="G826" s="14"/>
      <c r="H826" s="14"/>
      <c r="I826" s="14"/>
      <c r="J826" s="14"/>
      <c r="K826" s="14"/>
      <c r="L826" s="14"/>
      <c r="M826" s="14"/>
    </row>
    <row r="827" spans="2:13" s="7" customFormat="1" ht="13.5">
      <c r="B827" s="30"/>
      <c r="C827" s="30"/>
      <c r="D827" s="31"/>
      <c r="E827" s="35"/>
      <c r="F827" s="130"/>
      <c r="G827" s="14"/>
      <c r="H827" s="14"/>
      <c r="I827" s="14"/>
      <c r="J827" s="14"/>
      <c r="K827" s="14"/>
      <c r="L827" s="14"/>
      <c r="M827" s="14"/>
    </row>
    <row r="828" spans="2:13" s="7" customFormat="1" ht="13.5">
      <c r="B828" s="30"/>
      <c r="C828" s="30"/>
      <c r="D828" s="31"/>
      <c r="E828" s="35"/>
      <c r="F828" s="130"/>
      <c r="G828" s="14"/>
      <c r="H828" s="14"/>
      <c r="I828" s="14"/>
      <c r="J828" s="14"/>
      <c r="K828" s="14"/>
      <c r="L828" s="14"/>
      <c r="M828" s="14"/>
    </row>
    <row r="829" spans="2:13" s="7" customFormat="1" ht="13.5">
      <c r="B829" s="30"/>
      <c r="C829" s="30"/>
      <c r="D829" s="31"/>
      <c r="E829" s="35"/>
      <c r="F829" s="130"/>
      <c r="G829" s="14"/>
      <c r="H829" s="14"/>
      <c r="I829" s="14"/>
      <c r="J829" s="14"/>
      <c r="K829" s="14"/>
      <c r="L829" s="14"/>
      <c r="M829" s="14"/>
    </row>
    <row r="830" spans="2:13" s="7" customFormat="1" ht="13.5">
      <c r="B830" s="30"/>
      <c r="C830" s="30"/>
      <c r="D830" s="31"/>
      <c r="E830" s="35"/>
      <c r="F830" s="130"/>
      <c r="G830" s="14"/>
      <c r="H830" s="14"/>
      <c r="I830" s="14"/>
      <c r="J830" s="14"/>
      <c r="K830" s="14"/>
      <c r="L830" s="14"/>
      <c r="M830" s="14"/>
    </row>
    <row r="831" spans="2:13" s="7" customFormat="1" ht="13.5">
      <c r="B831" s="30"/>
      <c r="C831" s="30"/>
      <c r="D831" s="31"/>
      <c r="E831" s="35"/>
      <c r="F831" s="130"/>
      <c r="G831" s="14"/>
      <c r="H831" s="14"/>
      <c r="I831" s="14"/>
      <c r="J831" s="14"/>
      <c r="K831" s="14"/>
      <c r="L831" s="14"/>
      <c r="M831" s="14"/>
    </row>
    <row r="832" spans="2:13" s="7" customFormat="1" ht="13.5">
      <c r="B832" s="30"/>
      <c r="C832" s="30"/>
      <c r="D832" s="31"/>
      <c r="E832" s="35"/>
      <c r="F832" s="130"/>
      <c r="G832" s="14"/>
      <c r="H832" s="14"/>
      <c r="I832" s="14"/>
      <c r="J832" s="14"/>
      <c r="K832" s="14"/>
      <c r="L832" s="14"/>
      <c r="M832" s="14"/>
    </row>
    <row r="833" spans="2:13" s="7" customFormat="1" ht="13.5">
      <c r="B833" s="30"/>
      <c r="C833" s="30"/>
      <c r="D833" s="31"/>
      <c r="E833" s="35"/>
      <c r="F833" s="130"/>
      <c r="G833" s="14"/>
      <c r="H833" s="14"/>
      <c r="I833" s="14"/>
      <c r="J833" s="14"/>
      <c r="K833" s="14"/>
      <c r="L833" s="14"/>
      <c r="M833" s="14"/>
    </row>
    <row r="834" spans="2:13" s="7" customFormat="1" ht="13.5">
      <c r="B834" s="30"/>
      <c r="C834" s="30"/>
      <c r="D834" s="31"/>
      <c r="E834" s="35"/>
      <c r="F834" s="130"/>
      <c r="G834" s="14"/>
      <c r="H834" s="14"/>
      <c r="I834" s="14"/>
      <c r="J834" s="14"/>
      <c r="K834" s="14"/>
      <c r="L834" s="14"/>
      <c r="M834" s="14"/>
    </row>
    <row r="835" spans="2:13" s="7" customFormat="1" ht="13.5">
      <c r="B835" s="30"/>
      <c r="C835" s="30"/>
      <c r="D835" s="31"/>
      <c r="E835" s="35"/>
      <c r="F835" s="130"/>
      <c r="G835" s="14"/>
      <c r="H835" s="14"/>
      <c r="I835" s="14"/>
      <c r="J835" s="14"/>
      <c r="K835" s="14"/>
      <c r="L835" s="14"/>
      <c r="M835" s="14"/>
    </row>
    <row r="836" spans="2:13" s="7" customFormat="1" ht="13.5">
      <c r="B836" s="30"/>
      <c r="C836" s="30"/>
      <c r="D836" s="31"/>
      <c r="E836" s="35"/>
      <c r="F836" s="130"/>
      <c r="G836" s="14"/>
      <c r="H836" s="14"/>
      <c r="I836" s="14"/>
      <c r="J836" s="14"/>
      <c r="K836" s="14"/>
      <c r="L836" s="14"/>
      <c r="M836" s="14"/>
    </row>
    <row r="837" spans="2:13" s="7" customFormat="1" ht="13.5">
      <c r="B837" s="30"/>
      <c r="C837" s="30"/>
      <c r="D837" s="31"/>
      <c r="E837" s="35"/>
      <c r="F837" s="130"/>
      <c r="G837" s="14"/>
      <c r="H837" s="14"/>
      <c r="I837" s="14"/>
      <c r="J837" s="14"/>
      <c r="K837" s="14"/>
      <c r="L837" s="14"/>
      <c r="M837" s="14"/>
    </row>
    <row r="838" spans="2:13" s="7" customFormat="1" ht="13.5">
      <c r="B838" s="30"/>
      <c r="C838" s="30"/>
      <c r="D838" s="31"/>
      <c r="E838" s="35"/>
      <c r="F838" s="130"/>
      <c r="G838" s="14"/>
      <c r="H838" s="14"/>
      <c r="I838" s="14"/>
      <c r="J838" s="14"/>
      <c r="K838" s="14"/>
      <c r="L838" s="14"/>
      <c r="M838" s="14"/>
    </row>
    <row r="839" spans="2:13" s="7" customFormat="1" ht="13.5">
      <c r="B839" s="30"/>
      <c r="C839" s="30"/>
      <c r="D839" s="31"/>
      <c r="E839" s="35"/>
      <c r="F839" s="130"/>
      <c r="G839" s="14"/>
      <c r="H839" s="14"/>
      <c r="I839" s="14"/>
      <c r="J839" s="14"/>
      <c r="K839" s="14"/>
      <c r="L839" s="14"/>
      <c r="M839" s="14"/>
    </row>
    <row r="840" spans="2:13" s="7" customFormat="1" ht="13.5">
      <c r="B840" s="30"/>
      <c r="C840" s="30"/>
      <c r="D840" s="31"/>
      <c r="E840" s="35"/>
      <c r="F840" s="130"/>
      <c r="G840" s="14"/>
      <c r="H840" s="14"/>
      <c r="I840" s="14"/>
      <c r="J840" s="14"/>
      <c r="K840" s="14"/>
      <c r="L840" s="14"/>
      <c r="M840" s="14"/>
    </row>
    <row r="841" spans="2:13" s="7" customFormat="1" ht="13.5">
      <c r="B841" s="30"/>
      <c r="C841" s="30"/>
      <c r="D841" s="31"/>
      <c r="E841" s="35"/>
      <c r="F841" s="130"/>
      <c r="G841" s="14"/>
      <c r="H841" s="14"/>
      <c r="I841" s="14"/>
      <c r="J841" s="14"/>
      <c r="K841" s="14"/>
      <c r="L841" s="14"/>
      <c r="M841" s="14"/>
    </row>
    <row r="842" spans="2:13" s="7" customFormat="1" ht="13.5">
      <c r="B842" s="30"/>
      <c r="C842" s="30"/>
      <c r="D842" s="31"/>
      <c r="E842" s="35"/>
      <c r="F842" s="130"/>
      <c r="G842" s="14"/>
      <c r="H842" s="14"/>
      <c r="I842" s="14"/>
      <c r="J842" s="14"/>
      <c r="K842" s="14"/>
      <c r="L842" s="14"/>
      <c r="M842" s="14"/>
    </row>
    <row r="843" spans="2:13" s="7" customFormat="1" ht="13.5">
      <c r="B843" s="30"/>
      <c r="C843" s="30"/>
      <c r="D843" s="31"/>
      <c r="E843" s="35"/>
      <c r="F843" s="130"/>
      <c r="G843" s="14"/>
      <c r="H843" s="14"/>
      <c r="I843" s="14"/>
      <c r="J843" s="14"/>
      <c r="K843" s="14"/>
      <c r="L843" s="14"/>
      <c r="M843" s="14"/>
    </row>
    <row r="844" spans="2:13" s="7" customFormat="1" ht="13.5">
      <c r="B844" s="30"/>
      <c r="C844" s="30"/>
      <c r="D844" s="31"/>
      <c r="E844" s="35"/>
      <c r="F844" s="130"/>
      <c r="G844" s="14"/>
      <c r="H844" s="14"/>
      <c r="I844" s="14"/>
      <c r="J844" s="14"/>
      <c r="K844" s="14"/>
      <c r="L844" s="14"/>
      <c r="M844" s="14"/>
    </row>
    <row r="845" spans="2:13" s="7" customFormat="1" ht="13.5">
      <c r="B845" s="30"/>
      <c r="C845" s="30"/>
      <c r="D845" s="31"/>
      <c r="E845" s="35"/>
      <c r="F845" s="130"/>
      <c r="G845" s="14"/>
      <c r="H845" s="14"/>
      <c r="I845" s="14"/>
      <c r="J845" s="14"/>
      <c r="K845" s="14"/>
      <c r="L845" s="14"/>
      <c r="M845" s="14"/>
    </row>
    <row r="846" spans="2:13" s="7" customFormat="1" ht="13.5">
      <c r="B846" s="30"/>
      <c r="C846" s="30"/>
      <c r="D846" s="31"/>
      <c r="E846" s="35"/>
      <c r="F846" s="130"/>
      <c r="G846" s="14"/>
      <c r="H846" s="14"/>
      <c r="I846" s="14"/>
      <c r="J846" s="14"/>
      <c r="K846" s="14"/>
      <c r="L846" s="14"/>
      <c r="M846" s="14"/>
    </row>
    <row r="847" spans="2:13" s="7" customFormat="1" ht="13.5">
      <c r="B847" s="30"/>
      <c r="C847" s="30"/>
      <c r="D847" s="31"/>
      <c r="E847" s="35"/>
      <c r="F847" s="130"/>
      <c r="G847" s="14"/>
      <c r="H847" s="14"/>
      <c r="I847" s="14"/>
      <c r="J847" s="14"/>
      <c r="K847" s="14"/>
      <c r="L847" s="14"/>
      <c r="M847" s="14"/>
    </row>
    <row r="848" spans="2:13" s="7" customFormat="1" ht="13.5">
      <c r="B848" s="30"/>
      <c r="C848" s="30"/>
      <c r="D848" s="31"/>
      <c r="E848" s="35"/>
      <c r="F848" s="130"/>
      <c r="G848" s="14"/>
      <c r="H848" s="14"/>
      <c r="I848" s="14"/>
      <c r="J848" s="14"/>
      <c r="K848" s="14"/>
      <c r="L848" s="14"/>
      <c r="M848" s="14"/>
    </row>
    <row r="849" spans="2:13" s="7" customFormat="1" ht="13.5">
      <c r="B849" s="30"/>
      <c r="C849" s="30"/>
      <c r="D849" s="31"/>
      <c r="E849" s="35"/>
      <c r="F849" s="130"/>
      <c r="G849" s="14"/>
      <c r="H849" s="14"/>
      <c r="I849" s="14"/>
      <c r="J849" s="14"/>
      <c r="K849" s="14"/>
      <c r="L849" s="14"/>
      <c r="M849" s="14"/>
    </row>
    <row r="850" spans="2:13" s="7" customFormat="1" ht="13.5">
      <c r="B850" s="30"/>
      <c r="C850" s="30"/>
      <c r="D850" s="31"/>
      <c r="E850" s="35"/>
      <c r="F850" s="130"/>
      <c r="G850" s="14"/>
      <c r="H850" s="14"/>
      <c r="I850" s="14"/>
      <c r="J850" s="14"/>
      <c r="K850" s="14"/>
      <c r="L850" s="14"/>
      <c r="M850" s="14"/>
    </row>
    <row r="851" spans="2:13" s="7" customFormat="1" ht="13.5">
      <c r="B851" s="30"/>
      <c r="C851" s="30"/>
      <c r="D851" s="31"/>
      <c r="E851" s="35"/>
      <c r="F851" s="130"/>
      <c r="G851" s="14"/>
      <c r="H851" s="14"/>
      <c r="I851" s="14"/>
      <c r="J851" s="14"/>
      <c r="K851" s="14"/>
      <c r="L851" s="14"/>
      <c r="M851" s="14"/>
    </row>
    <row r="852" spans="2:13" s="7" customFormat="1" ht="13.5">
      <c r="B852" s="30"/>
      <c r="C852" s="30"/>
      <c r="D852" s="31"/>
      <c r="E852" s="35"/>
      <c r="F852" s="130"/>
      <c r="G852" s="14"/>
      <c r="H852" s="14"/>
      <c r="I852" s="14"/>
      <c r="J852" s="14"/>
      <c r="K852" s="14"/>
      <c r="L852" s="14"/>
      <c r="M852" s="14"/>
    </row>
    <row r="853" spans="2:13" s="7" customFormat="1" ht="13.5">
      <c r="B853" s="30"/>
      <c r="C853" s="30"/>
      <c r="D853" s="31"/>
      <c r="E853" s="35"/>
      <c r="F853" s="130"/>
      <c r="G853" s="14"/>
      <c r="H853" s="14"/>
      <c r="I853" s="14"/>
      <c r="J853" s="14"/>
      <c r="K853" s="14"/>
      <c r="L853" s="14"/>
      <c r="M853" s="14"/>
    </row>
    <row r="854" spans="2:13" s="7" customFormat="1" ht="13.5">
      <c r="B854" s="30"/>
      <c r="C854" s="30"/>
      <c r="D854" s="31"/>
      <c r="E854" s="35"/>
      <c r="F854" s="130"/>
      <c r="G854" s="14"/>
      <c r="H854" s="14"/>
      <c r="I854" s="14"/>
      <c r="J854" s="14"/>
      <c r="K854" s="14"/>
      <c r="L854" s="14"/>
      <c r="M854" s="14"/>
    </row>
    <row r="855" spans="2:13" s="7" customFormat="1" ht="13.5">
      <c r="B855" s="30"/>
      <c r="C855" s="30"/>
      <c r="D855" s="31"/>
      <c r="E855" s="35"/>
      <c r="F855" s="130"/>
      <c r="G855" s="14"/>
      <c r="H855" s="14"/>
      <c r="I855" s="14"/>
      <c r="J855" s="14"/>
      <c r="K855" s="14"/>
      <c r="L855" s="14"/>
      <c r="M855" s="14"/>
    </row>
    <row r="856" spans="2:13" s="7" customFormat="1" ht="13.5">
      <c r="B856" s="30"/>
      <c r="C856" s="30"/>
      <c r="D856" s="31"/>
      <c r="E856" s="35"/>
      <c r="F856" s="130"/>
      <c r="G856" s="14"/>
      <c r="H856" s="14"/>
      <c r="I856" s="14"/>
      <c r="J856" s="14"/>
      <c r="K856" s="14"/>
      <c r="L856" s="14"/>
      <c r="M856" s="14"/>
    </row>
    <row r="857" spans="2:13" s="7" customFormat="1" ht="13.5">
      <c r="B857" s="30"/>
      <c r="C857" s="30"/>
      <c r="D857" s="31"/>
      <c r="E857" s="35"/>
      <c r="F857" s="130"/>
      <c r="G857" s="14"/>
      <c r="H857" s="14"/>
      <c r="I857" s="14"/>
      <c r="J857" s="14"/>
      <c r="K857" s="14"/>
      <c r="L857" s="14"/>
      <c r="M857" s="14"/>
    </row>
    <row r="858" spans="2:13" s="7" customFormat="1" ht="13.5">
      <c r="B858" s="30"/>
      <c r="C858" s="30"/>
      <c r="D858" s="31"/>
      <c r="E858" s="35"/>
      <c r="F858" s="130"/>
      <c r="G858" s="14"/>
      <c r="H858" s="14"/>
      <c r="I858" s="14"/>
      <c r="J858" s="14"/>
      <c r="K858" s="14"/>
      <c r="L858" s="14"/>
      <c r="M858" s="14"/>
    </row>
    <row r="859" spans="2:13" s="7" customFormat="1" ht="13.5">
      <c r="B859" s="30"/>
      <c r="C859" s="30"/>
      <c r="D859" s="31"/>
      <c r="E859" s="35"/>
      <c r="F859" s="130"/>
      <c r="G859" s="14"/>
      <c r="H859" s="14"/>
      <c r="I859" s="14"/>
      <c r="J859" s="14"/>
      <c r="K859" s="14"/>
      <c r="L859" s="14"/>
      <c r="M859" s="14"/>
    </row>
    <row r="860" spans="2:13" s="7" customFormat="1" ht="13.5">
      <c r="B860" s="30"/>
      <c r="C860" s="30"/>
      <c r="D860" s="31"/>
      <c r="E860" s="35"/>
      <c r="F860" s="130"/>
      <c r="G860" s="14"/>
      <c r="H860" s="14"/>
      <c r="I860" s="14"/>
      <c r="J860" s="14"/>
      <c r="K860" s="14"/>
      <c r="L860" s="14"/>
      <c r="M860" s="14"/>
    </row>
    <row r="861" spans="2:13" s="7" customFormat="1" ht="13.5">
      <c r="B861" s="30"/>
      <c r="C861" s="30"/>
      <c r="D861" s="31"/>
      <c r="E861" s="35"/>
      <c r="F861" s="130"/>
      <c r="G861" s="14"/>
      <c r="H861" s="14"/>
      <c r="I861" s="14"/>
      <c r="J861" s="14"/>
      <c r="K861" s="14"/>
      <c r="L861" s="14"/>
      <c r="M861" s="14"/>
    </row>
    <row r="862" spans="2:13" s="7" customFormat="1" ht="13.5">
      <c r="B862" s="30"/>
      <c r="C862" s="30"/>
      <c r="D862" s="31"/>
      <c r="E862" s="35"/>
      <c r="F862" s="130"/>
      <c r="G862" s="14"/>
      <c r="H862" s="14"/>
      <c r="I862" s="14"/>
      <c r="J862" s="14"/>
      <c r="K862" s="14"/>
      <c r="L862" s="14"/>
      <c r="M862" s="14"/>
    </row>
    <row r="863" spans="2:13" s="7" customFormat="1" ht="13.5">
      <c r="B863" s="30"/>
      <c r="C863" s="30"/>
      <c r="D863" s="31"/>
      <c r="E863" s="35"/>
      <c r="F863" s="130"/>
      <c r="G863" s="14"/>
      <c r="H863" s="14"/>
      <c r="I863" s="14"/>
      <c r="J863" s="14"/>
      <c r="K863" s="14"/>
      <c r="L863" s="14"/>
      <c r="M863" s="14"/>
    </row>
    <row r="864" spans="2:13" s="7" customFormat="1" ht="13.5">
      <c r="B864" s="30"/>
      <c r="C864" s="30"/>
      <c r="D864" s="31"/>
      <c r="E864" s="35"/>
      <c r="F864" s="130"/>
      <c r="G864" s="14"/>
      <c r="H864" s="14"/>
      <c r="I864" s="14"/>
      <c r="J864" s="14"/>
      <c r="K864" s="14"/>
      <c r="L864" s="14"/>
      <c r="M864" s="14"/>
    </row>
    <row r="865" spans="2:13" s="7" customFormat="1" ht="13.5">
      <c r="B865" s="30"/>
      <c r="C865" s="30"/>
      <c r="D865" s="31"/>
      <c r="E865" s="35"/>
      <c r="F865" s="130"/>
      <c r="G865" s="14"/>
      <c r="H865" s="14"/>
      <c r="I865" s="14"/>
      <c r="J865" s="14"/>
      <c r="K865" s="14"/>
      <c r="L865" s="14"/>
      <c r="M865" s="14"/>
    </row>
    <row r="866" spans="2:13" s="7" customFormat="1" ht="13.5">
      <c r="B866" s="30"/>
      <c r="C866" s="30"/>
      <c r="D866" s="31"/>
      <c r="E866" s="35"/>
      <c r="F866" s="130"/>
      <c r="G866" s="14"/>
      <c r="H866" s="14"/>
      <c r="I866" s="14"/>
      <c r="J866" s="14"/>
      <c r="K866" s="14"/>
      <c r="L866" s="14"/>
      <c r="M866" s="14"/>
    </row>
    <row r="867" spans="2:13" s="7" customFormat="1" ht="13.5">
      <c r="B867" s="30"/>
      <c r="C867" s="30"/>
      <c r="D867" s="31"/>
      <c r="E867" s="35"/>
      <c r="F867" s="130"/>
      <c r="G867" s="14"/>
      <c r="H867" s="14"/>
      <c r="I867" s="14"/>
      <c r="J867" s="14"/>
      <c r="K867" s="14"/>
      <c r="L867" s="14"/>
      <c r="M867" s="14"/>
    </row>
    <row r="868" spans="2:13" s="7" customFormat="1" ht="13.5">
      <c r="B868" s="30"/>
      <c r="C868" s="30"/>
      <c r="D868" s="31"/>
      <c r="E868" s="35"/>
      <c r="F868" s="130"/>
      <c r="G868" s="14"/>
      <c r="H868" s="14"/>
      <c r="I868" s="14"/>
      <c r="J868" s="14"/>
      <c r="K868" s="14"/>
      <c r="L868" s="14"/>
      <c r="M868" s="14"/>
    </row>
    <row r="869" spans="2:13" s="7" customFormat="1" ht="13.5">
      <c r="B869" s="30"/>
      <c r="C869" s="30"/>
      <c r="D869" s="31"/>
      <c r="E869" s="35"/>
      <c r="F869" s="130"/>
      <c r="G869" s="14"/>
      <c r="H869" s="14"/>
      <c r="I869" s="14"/>
      <c r="J869" s="14"/>
      <c r="K869" s="14"/>
      <c r="L869" s="14"/>
      <c r="M869" s="14"/>
    </row>
    <row r="870" spans="2:13" s="7" customFormat="1" ht="13.5">
      <c r="B870" s="30"/>
      <c r="C870" s="30"/>
      <c r="D870" s="31"/>
      <c r="E870" s="35"/>
      <c r="F870" s="130"/>
      <c r="G870" s="14"/>
      <c r="H870" s="14"/>
      <c r="I870" s="14"/>
      <c r="J870" s="14"/>
      <c r="K870" s="14"/>
      <c r="L870" s="14"/>
      <c r="M870" s="14"/>
    </row>
    <row r="871" spans="2:13" s="7" customFormat="1" ht="13.5">
      <c r="B871" s="30"/>
      <c r="C871" s="30"/>
      <c r="D871" s="31"/>
      <c r="E871" s="35"/>
      <c r="F871" s="130"/>
      <c r="G871" s="14"/>
      <c r="H871" s="14"/>
      <c r="I871" s="14"/>
      <c r="J871" s="14"/>
      <c r="K871" s="14"/>
      <c r="L871" s="14"/>
      <c r="M871" s="14"/>
    </row>
    <row r="872" spans="2:13" s="7" customFormat="1" ht="13.5">
      <c r="B872" s="30"/>
      <c r="C872" s="30"/>
      <c r="D872" s="31"/>
      <c r="E872" s="35"/>
      <c r="F872" s="130"/>
      <c r="G872" s="14"/>
      <c r="H872" s="14"/>
      <c r="I872" s="14"/>
      <c r="J872" s="14"/>
      <c r="K872" s="14"/>
      <c r="L872" s="14"/>
      <c r="M872" s="14"/>
    </row>
    <row r="873" spans="2:13" s="7" customFormat="1" ht="13.5">
      <c r="B873" s="30"/>
      <c r="C873" s="30"/>
      <c r="D873" s="31"/>
      <c r="E873" s="35"/>
      <c r="F873" s="130"/>
      <c r="G873" s="14"/>
      <c r="H873" s="14"/>
      <c r="I873" s="14"/>
      <c r="J873" s="14"/>
      <c r="K873" s="14"/>
      <c r="L873" s="14"/>
      <c r="M873" s="14"/>
    </row>
    <row r="874" spans="2:13" s="7" customFormat="1" ht="13.5">
      <c r="B874" s="30"/>
      <c r="C874" s="30"/>
      <c r="D874" s="31"/>
      <c r="E874" s="35"/>
      <c r="F874" s="130"/>
      <c r="G874" s="14"/>
      <c r="H874" s="14"/>
      <c r="I874" s="14"/>
      <c r="J874" s="14"/>
      <c r="K874" s="14"/>
      <c r="L874" s="14"/>
      <c r="M874" s="14"/>
    </row>
    <row r="875" spans="2:13" s="7" customFormat="1" ht="13.5">
      <c r="B875" s="30"/>
      <c r="C875" s="30"/>
      <c r="D875" s="31"/>
      <c r="E875" s="35"/>
      <c r="F875" s="130"/>
      <c r="G875" s="14"/>
      <c r="H875" s="14"/>
      <c r="I875" s="14"/>
      <c r="J875" s="14"/>
      <c r="K875" s="14"/>
      <c r="L875" s="14"/>
      <c r="M875" s="14"/>
    </row>
    <row r="876" spans="2:13" s="7" customFormat="1" ht="13.5">
      <c r="B876" s="30"/>
      <c r="C876" s="30"/>
      <c r="D876" s="31"/>
      <c r="E876" s="35"/>
      <c r="F876" s="130"/>
      <c r="G876" s="14"/>
      <c r="H876" s="14"/>
      <c r="I876" s="14"/>
      <c r="J876" s="14"/>
      <c r="K876" s="14"/>
      <c r="L876" s="14"/>
      <c r="M876" s="14"/>
    </row>
    <row r="877" spans="2:13" s="7" customFormat="1" ht="13.5">
      <c r="B877" s="30"/>
      <c r="C877" s="30"/>
      <c r="D877" s="31"/>
      <c r="E877" s="35"/>
      <c r="F877" s="130"/>
      <c r="G877" s="14"/>
      <c r="H877" s="14"/>
      <c r="I877" s="14"/>
      <c r="J877" s="14"/>
      <c r="K877" s="14"/>
      <c r="L877" s="14"/>
      <c r="M877" s="14"/>
    </row>
    <row r="878" spans="2:13" s="7" customFormat="1" ht="13.5">
      <c r="B878" s="30"/>
      <c r="C878" s="30"/>
      <c r="D878" s="31"/>
      <c r="E878" s="35"/>
      <c r="F878" s="130"/>
      <c r="G878" s="14"/>
      <c r="H878" s="14"/>
      <c r="I878" s="14"/>
      <c r="J878" s="14"/>
      <c r="K878" s="14"/>
      <c r="L878" s="14"/>
      <c r="M878" s="14"/>
    </row>
    <row r="879" spans="2:13" s="7" customFormat="1" ht="13.5">
      <c r="B879" s="30"/>
      <c r="C879" s="30"/>
      <c r="D879" s="31"/>
      <c r="E879" s="35"/>
      <c r="F879" s="130"/>
      <c r="G879" s="14"/>
      <c r="H879" s="14"/>
      <c r="I879" s="14"/>
      <c r="J879" s="14"/>
      <c r="K879" s="14"/>
      <c r="L879" s="14"/>
      <c r="M879" s="14"/>
    </row>
    <row r="880" spans="2:13" s="7" customFormat="1" ht="13.5">
      <c r="B880" s="30"/>
      <c r="C880" s="30"/>
      <c r="D880" s="31"/>
      <c r="E880" s="35"/>
      <c r="F880" s="130"/>
      <c r="G880" s="14"/>
      <c r="H880" s="14"/>
      <c r="I880" s="14"/>
      <c r="J880" s="14"/>
      <c r="K880" s="14"/>
      <c r="L880" s="14"/>
      <c r="M880" s="14"/>
    </row>
    <row r="881" spans="2:13" s="7" customFormat="1" ht="13.5">
      <c r="B881" s="30"/>
      <c r="C881" s="30"/>
      <c r="D881" s="31"/>
      <c r="E881" s="35"/>
      <c r="F881" s="130"/>
      <c r="G881" s="14"/>
      <c r="H881" s="14"/>
      <c r="I881" s="14"/>
      <c r="J881" s="14"/>
      <c r="K881" s="14"/>
      <c r="L881" s="14"/>
      <c r="M881" s="14"/>
    </row>
    <row r="882" spans="2:13" s="7" customFormat="1" ht="13.5">
      <c r="B882" s="30"/>
      <c r="C882" s="30"/>
      <c r="D882" s="31"/>
      <c r="E882" s="35"/>
      <c r="F882" s="130"/>
      <c r="G882" s="14"/>
      <c r="H882" s="14"/>
      <c r="I882" s="14"/>
      <c r="J882" s="14"/>
      <c r="K882" s="14"/>
      <c r="L882" s="14"/>
      <c r="M882" s="14"/>
    </row>
    <row r="883" spans="2:13" s="7" customFormat="1" ht="13.5">
      <c r="B883" s="30"/>
      <c r="C883" s="30"/>
      <c r="D883" s="31"/>
      <c r="E883" s="35"/>
      <c r="F883" s="130"/>
      <c r="G883" s="14"/>
      <c r="H883" s="14"/>
      <c r="I883" s="14"/>
      <c r="J883" s="14"/>
      <c r="K883" s="14"/>
      <c r="L883" s="14"/>
      <c r="M883" s="14"/>
    </row>
    <row r="884" spans="2:13" s="7" customFormat="1" ht="13.5">
      <c r="B884" s="30"/>
      <c r="C884" s="30"/>
      <c r="D884" s="31"/>
      <c r="E884" s="35"/>
      <c r="F884" s="130"/>
      <c r="G884" s="14"/>
      <c r="H884" s="14"/>
      <c r="I884" s="14"/>
      <c r="J884" s="14"/>
      <c r="K884" s="14"/>
      <c r="L884" s="14"/>
      <c r="M884" s="14"/>
    </row>
    <row r="885" spans="2:13" s="7" customFormat="1" ht="13.5">
      <c r="B885" s="30"/>
      <c r="C885" s="30"/>
      <c r="D885" s="31"/>
      <c r="E885" s="35"/>
      <c r="F885" s="130"/>
      <c r="G885" s="14"/>
      <c r="H885" s="14"/>
      <c r="I885" s="14"/>
      <c r="J885" s="14"/>
      <c r="K885" s="14"/>
      <c r="L885" s="14"/>
      <c r="M885" s="14"/>
    </row>
    <row r="886" spans="2:13" s="7" customFormat="1" ht="13.5">
      <c r="B886" s="30"/>
      <c r="C886" s="30"/>
      <c r="D886" s="31"/>
      <c r="E886" s="35"/>
      <c r="F886" s="130"/>
      <c r="G886" s="14"/>
      <c r="H886" s="14"/>
      <c r="I886" s="14"/>
      <c r="J886" s="14"/>
      <c r="K886" s="14"/>
      <c r="L886" s="14"/>
      <c r="M886" s="14"/>
    </row>
    <row r="887" spans="2:13" s="7" customFormat="1" ht="13.5">
      <c r="B887" s="30"/>
      <c r="C887" s="30"/>
      <c r="D887" s="31"/>
      <c r="E887" s="35"/>
      <c r="F887" s="130"/>
      <c r="G887" s="14"/>
      <c r="H887" s="14"/>
      <c r="I887" s="14"/>
      <c r="J887" s="14"/>
      <c r="K887" s="14"/>
      <c r="L887" s="14"/>
      <c r="M887" s="14"/>
    </row>
    <row r="888" spans="2:13" s="7" customFormat="1" ht="13.5">
      <c r="B888" s="30"/>
      <c r="C888" s="30"/>
      <c r="D888" s="31"/>
      <c r="E888" s="35"/>
      <c r="F888" s="130"/>
      <c r="G888" s="14"/>
      <c r="H888" s="14"/>
      <c r="I888" s="14"/>
      <c r="J888" s="14"/>
      <c r="K888" s="14"/>
      <c r="L888" s="14"/>
      <c r="M888" s="14"/>
    </row>
    <row r="889" spans="2:13" s="7" customFormat="1" ht="13.5">
      <c r="B889" s="30"/>
      <c r="C889" s="30"/>
      <c r="D889" s="31"/>
      <c r="E889" s="35"/>
      <c r="F889" s="130"/>
      <c r="G889" s="14"/>
      <c r="H889" s="14"/>
      <c r="I889" s="14"/>
      <c r="J889" s="14"/>
      <c r="K889" s="14"/>
      <c r="L889" s="14"/>
      <c r="M889" s="14"/>
    </row>
    <row r="890" spans="2:13" s="7" customFormat="1" ht="13.5">
      <c r="B890" s="30"/>
      <c r="C890" s="30"/>
      <c r="D890" s="31"/>
      <c r="E890" s="35"/>
      <c r="F890" s="130"/>
      <c r="G890" s="14"/>
      <c r="H890" s="14"/>
      <c r="I890" s="14"/>
      <c r="J890" s="14"/>
      <c r="K890" s="14"/>
      <c r="L890" s="14"/>
      <c r="M890" s="14"/>
    </row>
    <row r="891" spans="2:13" s="7" customFormat="1" ht="13.5">
      <c r="B891" s="30"/>
      <c r="C891" s="30"/>
      <c r="D891" s="31"/>
      <c r="E891" s="35"/>
      <c r="F891" s="130"/>
      <c r="G891" s="14"/>
      <c r="H891" s="14"/>
      <c r="I891" s="14"/>
      <c r="J891" s="14"/>
      <c r="K891" s="14"/>
      <c r="L891" s="14"/>
      <c r="M891" s="14"/>
    </row>
    <row r="892" spans="2:13" s="7" customFormat="1" ht="13.5">
      <c r="B892" s="30"/>
      <c r="C892" s="30"/>
      <c r="D892" s="31"/>
      <c r="E892" s="35"/>
      <c r="F892" s="130"/>
      <c r="G892" s="14"/>
      <c r="H892" s="14"/>
      <c r="I892" s="14"/>
      <c r="J892" s="14"/>
      <c r="K892" s="14"/>
      <c r="L892" s="14"/>
      <c r="M892" s="14"/>
    </row>
    <row r="893" spans="2:13" s="7" customFormat="1" ht="13.5">
      <c r="B893" s="30"/>
      <c r="C893" s="30"/>
      <c r="D893" s="31"/>
      <c r="E893" s="35"/>
      <c r="F893" s="130"/>
      <c r="G893" s="14"/>
      <c r="H893" s="14"/>
      <c r="I893" s="14"/>
      <c r="J893" s="14"/>
      <c r="K893" s="14"/>
      <c r="L893" s="14"/>
      <c r="M893" s="14"/>
    </row>
    <row r="894" spans="2:13" s="7" customFormat="1" ht="13.5">
      <c r="B894" s="30"/>
      <c r="C894" s="30"/>
      <c r="D894" s="31"/>
      <c r="E894" s="35"/>
      <c r="F894" s="130"/>
      <c r="G894" s="14"/>
      <c r="H894" s="14"/>
      <c r="I894" s="14"/>
      <c r="J894" s="14"/>
      <c r="K894" s="14"/>
      <c r="L894" s="14"/>
      <c r="M894" s="14"/>
    </row>
    <row r="895" spans="2:13" s="7" customFormat="1" ht="13.5">
      <c r="B895" s="30"/>
      <c r="C895" s="30"/>
      <c r="D895" s="31"/>
      <c r="E895" s="35"/>
      <c r="F895" s="130"/>
      <c r="G895" s="14"/>
      <c r="H895" s="14"/>
      <c r="I895" s="14"/>
      <c r="J895" s="14"/>
      <c r="K895" s="14"/>
      <c r="L895" s="14"/>
      <c r="M895" s="14"/>
    </row>
    <row r="896" spans="2:13" s="7" customFormat="1" ht="13.5">
      <c r="B896" s="30"/>
      <c r="C896" s="30"/>
      <c r="D896" s="31"/>
      <c r="E896" s="35"/>
      <c r="F896" s="130"/>
      <c r="G896" s="14"/>
      <c r="H896" s="14"/>
      <c r="I896" s="14"/>
      <c r="J896" s="14"/>
      <c r="K896" s="14"/>
      <c r="L896" s="14"/>
      <c r="M896" s="14"/>
    </row>
    <row r="897" spans="2:13" s="7" customFormat="1" ht="13.5">
      <c r="B897" s="30"/>
      <c r="C897" s="30"/>
      <c r="D897" s="31"/>
      <c r="E897" s="35"/>
      <c r="F897" s="130"/>
      <c r="G897" s="14"/>
      <c r="H897" s="14"/>
      <c r="I897" s="14"/>
      <c r="J897" s="14"/>
      <c r="K897" s="14"/>
      <c r="L897" s="14"/>
      <c r="M897" s="14"/>
    </row>
    <row r="898" spans="2:13" s="7" customFormat="1" ht="13.5">
      <c r="B898" s="30"/>
      <c r="C898" s="30"/>
      <c r="D898" s="31"/>
      <c r="E898" s="35"/>
      <c r="F898" s="130"/>
      <c r="G898" s="14"/>
      <c r="H898" s="14"/>
      <c r="I898" s="14"/>
      <c r="J898" s="14"/>
      <c r="K898" s="14"/>
      <c r="L898" s="14"/>
      <c r="M898" s="14"/>
    </row>
    <row r="899" spans="2:13" s="7" customFormat="1" ht="13.5">
      <c r="B899" s="30"/>
      <c r="C899" s="30"/>
      <c r="D899" s="31"/>
      <c r="E899" s="35"/>
      <c r="F899" s="130"/>
      <c r="G899" s="14"/>
      <c r="H899" s="14"/>
      <c r="I899" s="14"/>
      <c r="J899" s="14"/>
      <c r="K899" s="14"/>
      <c r="L899" s="14"/>
      <c r="M899" s="14"/>
    </row>
    <row r="900" spans="2:13" s="7" customFormat="1" ht="13.5">
      <c r="B900" s="30"/>
      <c r="C900" s="30"/>
      <c r="D900" s="31"/>
      <c r="E900" s="35"/>
      <c r="F900" s="130"/>
      <c r="G900" s="14"/>
      <c r="H900" s="14"/>
      <c r="I900" s="14"/>
      <c r="J900" s="14"/>
      <c r="K900" s="14"/>
      <c r="L900" s="14"/>
      <c r="M900" s="14"/>
    </row>
    <row r="901" spans="2:13" s="7" customFormat="1" ht="13.5">
      <c r="B901" s="30"/>
      <c r="C901" s="30"/>
      <c r="D901" s="31"/>
      <c r="E901" s="35"/>
      <c r="F901" s="130"/>
      <c r="G901" s="14"/>
      <c r="H901" s="14"/>
      <c r="I901" s="14"/>
      <c r="J901" s="14"/>
      <c r="K901" s="14"/>
      <c r="L901" s="14"/>
      <c r="M901" s="14"/>
    </row>
    <row r="902" spans="2:13" s="7" customFormat="1" ht="13.5">
      <c r="B902" s="30"/>
      <c r="C902" s="30"/>
      <c r="D902" s="31"/>
      <c r="E902" s="35"/>
      <c r="F902" s="130"/>
      <c r="G902" s="14"/>
      <c r="H902" s="14"/>
      <c r="I902" s="14"/>
      <c r="J902" s="14"/>
      <c r="K902" s="14"/>
      <c r="L902" s="14"/>
      <c r="M902" s="14"/>
    </row>
    <row r="903" spans="2:13" s="7" customFormat="1" ht="13.5">
      <c r="B903" s="30"/>
      <c r="C903" s="30"/>
      <c r="D903" s="31"/>
      <c r="E903" s="35"/>
      <c r="F903" s="130"/>
      <c r="G903" s="14"/>
      <c r="H903" s="14"/>
      <c r="I903" s="14"/>
      <c r="J903" s="14"/>
      <c r="K903" s="14"/>
      <c r="L903" s="14"/>
      <c r="M903" s="14"/>
    </row>
    <row r="904" spans="2:13" s="7" customFormat="1" ht="13.5">
      <c r="B904" s="30"/>
      <c r="C904" s="30"/>
      <c r="D904" s="31"/>
      <c r="E904" s="35"/>
      <c r="F904" s="130"/>
      <c r="G904" s="14"/>
      <c r="H904" s="14"/>
      <c r="I904" s="14"/>
      <c r="J904" s="14"/>
      <c r="K904" s="14"/>
      <c r="L904" s="14"/>
      <c r="M904" s="14"/>
    </row>
    <row r="905" spans="2:13" s="7" customFormat="1" ht="13.5">
      <c r="B905" s="30"/>
      <c r="C905" s="30"/>
      <c r="D905" s="31"/>
      <c r="E905" s="35"/>
      <c r="F905" s="130"/>
      <c r="G905" s="14"/>
      <c r="H905" s="14"/>
      <c r="I905" s="14"/>
      <c r="J905" s="14"/>
      <c r="K905" s="14"/>
      <c r="L905" s="14"/>
      <c r="M905" s="14"/>
    </row>
    <row r="906" spans="2:13" s="7" customFormat="1" ht="13.5">
      <c r="B906" s="30"/>
      <c r="C906" s="30"/>
      <c r="D906" s="31"/>
      <c r="E906" s="35"/>
      <c r="F906" s="130"/>
      <c r="G906" s="14"/>
      <c r="H906" s="14"/>
      <c r="I906" s="14"/>
      <c r="J906" s="14"/>
      <c r="K906" s="14"/>
      <c r="L906" s="14"/>
      <c r="M906" s="14"/>
    </row>
    <row r="907" spans="2:13" s="7" customFormat="1" ht="13.5">
      <c r="B907" s="30"/>
      <c r="C907" s="30"/>
      <c r="D907" s="31"/>
      <c r="E907" s="35"/>
      <c r="F907" s="130"/>
      <c r="G907" s="14"/>
      <c r="H907" s="14"/>
      <c r="I907" s="14"/>
      <c r="J907" s="14"/>
      <c r="K907" s="14"/>
      <c r="L907" s="14"/>
      <c r="M907" s="14"/>
    </row>
    <row r="908" spans="2:13" s="7" customFormat="1" ht="13.5">
      <c r="B908" s="30"/>
      <c r="C908" s="30"/>
      <c r="D908" s="31"/>
      <c r="E908" s="35"/>
      <c r="F908" s="130"/>
      <c r="G908" s="14"/>
      <c r="H908" s="14"/>
      <c r="I908" s="14"/>
      <c r="J908" s="14"/>
      <c r="K908" s="14"/>
      <c r="L908" s="14"/>
      <c r="M908" s="14"/>
    </row>
    <row r="909" spans="2:13" s="7" customFormat="1" ht="13.5">
      <c r="B909" s="30"/>
      <c r="C909" s="30"/>
      <c r="D909" s="31"/>
      <c r="E909" s="35"/>
      <c r="F909" s="130"/>
      <c r="G909" s="14"/>
      <c r="H909" s="14"/>
      <c r="I909" s="14"/>
      <c r="J909" s="14"/>
      <c r="K909" s="14"/>
      <c r="L909" s="14"/>
      <c r="M909" s="14"/>
    </row>
    <row r="910" spans="2:13" s="7" customFormat="1" ht="13.5">
      <c r="B910" s="30"/>
      <c r="C910" s="30"/>
      <c r="D910" s="31"/>
      <c r="E910" s="35"/>
      <c r="F910" s="130"/>
      <c r="G910" s="14"/>
      <c r="H910" s="14"/>
      <c r="I910" s="14"/>
      <c r="J910" s="14"/>
      <c r="K910" s="14"/>
      <c r="L910" s="14"/>
      <c r="M910" s="14"/>
    </row>
    <row r="911" spans="2:13" s="7" customFormat="1" ht="13.5">
      <c r="B911" s="30"/>
      <c r="C911" s="30"/>
      <c r="D911" s="31"/>
      <c r="E911" s="35"/>
      <c r="F911" s="130"/>
      <c r="G911" s="14"/>
      <c r="H911" s="14"/>
      <c r="I911" s="14"/>
      <c r="J911" s="14"/>
      <c r="K911" s="14"/>
      <c r="L911" s="14"/>
      <c r="M911" s="14"/>
    </row>
    <row r="912" spans="2:13" s="7" customFormat="1" ht="13.5">
      <c r="B912" s="30"/>
      <c r="C912" s="30"/>
      <c r="D912" s="31"/>
      <c r="E912" s="35"/>
      <c r="F912" s="130"/>
      <c r="G912" s="14"/>
      <c r="H912" s="14"/>
      <c r="I912" s="14"/>
      <c r="J912" s="14"/>
      <c r="K912" s="14"/>
      <c r="L912" s="14"/>
      <c r="M912" s="14"/>
    </row>
    <row r="913" spans="2:13" s="7" customFormat="1" ht="13.5">
      <c r="B913" s="30"/>
      <c r="C913" s="30"/>
      <c r="D913" s="31"/>
      <c r="E913" s="35"/>
      <c r="F913" s="130"/>
      <c r="G913" s="14"/>
      <c r="H913" s="14"/>
      <c r="I913" s="14"/>
      <c r="J913" s="14"/>
      <c r="K913" s="14"/>
      <c r="L913" s="14"/>
      <c r="M913" s="14"/>
    </row>
    <row r="914" spans="2:13" s="7" customFormat="1" ht="13.5">
      <c r="B914" s="30"/>
      <c r="C914" s="30"/>
      <c r="D914" s="31"/>
      <c r="E914" s="35"/>
      <c r="F914" s="130"/>
      <c r="G914" s="14"/>
      <c r="H914" s="14"/>
      <c r="I914" s="14"/>
      <c r="J914" s="14"/>
      <c r="K914" s="14"/>
      <c r="L914" s="14"/>
      <c r="M914" s="14"/>
    </row>
    <row r="915" spans="2:13" s="7" customFormat="1" ht="13.5">
      <c r="B915" s="30"/>
      <c r="C915" s="30"/>
      <c r="D915" s="31"/>
      <c r="E915" s="35"/>
      <c r="F915" s="130"/>
      <c r="G915" s="14"/>
      <c r="H915" s="14"/>
      <c r="I915" s="14"/>
      <c r="J915" s="14"/>
      <c r="K915" s="14"/>
      <c r="L915" s="14"/>
      <c r="M915" s="14"/>
    </row>
    <row r="916" spans="2:13" s="7" customFormat="1" ht="13.5">
      <c r="B916" s="30"/>
      <c r="C916" s="30"/>
      <c r="D916" s="31"/>
      <c r="E916" s="35"/>
      <c r="F916" s="130"/>
      <c r="G916" s="14"/>
      <c r="H916" s="14"/>
      <c r="I916" s="14"/>
      <c r="J916" s="14"/>
      <c r="K916" s="14"/>
      <c r="L916" s="14"/>
      <c r="M916" s="14"/>
    </row>
    <row r="917" spans="2:13" s="7" customFormat="1" ht="13.5">
      <c r="B917" s="30"/>
      <c r="C917" s="30"/>
      <c r="D917" s="31"/>
      <c r="E917" s="35"/>
      <c r="F917" s="130"/>
      <c r="G917" s="14"/>
      <c r="H917" s="14"/>
      <c r="I917" s="14"/>
      <c r="J917" s="14"/>
      <c r="K917" s="14"/>
      <c r="L917" s="14"/>
      <c r="M917" s="14"/>
    </row>
    <row r="918" spans="2:13" s="7" customFormat="1" ht="13.5">
      <c r="B918" s="30"/>
      <c r="C918" s="30"/>
      <c r="D918" s="31"/>
      <c r="E918" s="35"/>
      <c r="F918" s="130"/>
      <c r="G918" s="14"/>
      <c r="H918" s="14"/>
      <c r="I918" s="14"/>
      <c r="J918" s="14"/>
      <c r="K918" s="14"/>
      <c r="L918" s="14"/>
      <c r="M918" s="14"/>
    </row>
    <row r="919" spans="2:13" s="7" customFormat="1" ht="13.5">
      <c r="B919" s="30"/>
      <c r="C919" s="30"/>
      <c r="D919" s="31"/>
      <c r="E919" s="35"/>
      <c r="F919" s="130"/>
      <c r="G919" s="14"/>
      <c r="H919" s="14"/>
      <c r="I919" s="14"/>
      <c r="J919" s="14"/>
      <c r="K919" s="14"/>
      <c r="L919" s="14"/>
      <c r="M919" s="14"/>
    </row>
    <row r="920" spans="2:13" s="7" customFormat="1" ht="13.5">
      <c r="B920" s="30"/>
      <c r="C920" s="30"/>
      <c r="D920" s="31"/>
      <c r="E920" s="35"/>
      <c r="F920" s="130"/>
      <c r="G920" s="14"/>
      <c r="H920" s="14"/>
      <c r="I920" s="14"/>
      <c r="J920" s="14"/>
      <c r="K920" s="14"/>
      <c r="L920" s="14"/>
      <c r="M920" s="14"/>
    </row>
    <row r="921" spans="2:13" s="7" customFormat="1" ht="13.5">
      <c r="B921" s="30"/>
      <c r="C921" s="30"/>
      <c r="D921" s="31"/>
      <c r="E921" s="35"/>
      <c r="F921" s="130"/>
      <c r="G921" s="14"/>
      <c r="H921" s="14"/>
      <c r="I921" s="14"/>
      <c r="J921" s="14"/>
      <c r="K921" s="14"/>
      <c r="L921" s="14"/>
      <c r="M921" s="14"/>
    </row>
    <row r="922" spans="2:13" s="7" customFormat="1" ht="13.5">
      <c r="B922" s="30"/>
      <c r="C922" s="30"/>
      <c r="D922" s="31"/>
      <c r="E922" s="35"/>
      <c r="F922" s="130"/>
      <c r="G922" s="14"/>
      <c r="H922" s="14"/>
      <c r="I922" s="14"/>
      <c r="J922" s="14"/>
      <c r="K922" s="14"/>
      <c r="L922" s="14"/>
      <c r="M922" s="14"/>
    </row>
    <row r="923" spans="2:13" s="7" customFormat="1" ht="13.5">
      <c r="B923" s="30"/>
      <c r="C923" s="30"/>
      <c r="D923" s="31"/>
      <c r="E923" s="35"/>
      <c r="F923" s="130"/>
      <c r="G923" s="14"/>
      <c r="H923" s="14"/>
      <c r="I923" s="14"/>
      <c r="J923" s="14"/>
      <c r="K923" s="14"/>
      <c r="L923" s="14"/>
      <c r="M923" s="14"/>
    </row>
    <row r="924" spans="2:13" s="7" customFormat="1" ht="13.5">
      <c r="B924" s="30"/>
      <c r="C924" s="30"/>
      <c r="D924" s="31"/>
      <c r="E924" s="35"/>
      <c r="F924" s="130"/>
      <c r="G924" s="14"/>
      <c r="H924" s="14"/>
      <c r="I924" s="14"/>
      <c r="J924" s="14"/>
      <c r="K924" s="14"/>
      <c r="L924" s="14"/>
      <c r="M924" s="14"/>
    </row>
    <row r="925" spans="2:13" s="7" customFormat="1" ht="13.5">
      <c r="B925" s="30"/>
      <c r="C925" s="30"/>
      <c r="D925" s="31"/>
      <c r="E925" s="35"/>
      <c r="F925" s="130"/>
      <c r="G925" s="14"/>
      <c r="H925" s="14"/>
      <c r="I925" s="14"/>
      <c r="J925" s="14"/>
      <c r="K925" s="14"/>
      <c r="L925" s="14"/>
      <c r="M925" s="14"/>
    </row>
    <row r="926" spans="2:13" s="7" customFormat="1" ht="13.5">
      <c r="B926" s="30"/>
      <c r="C926" s="30"/>
      <c r="D926" s="31"/>
      <c r="E926" s="35"/>
      <c r="F926" s="130"/>
      <c r="G926" s="14"/>
      <c r="H926" s="14"/>
      <c r="I926" s="14"/>
      <c r="J926" s="14"/>
      <c r="K926" s="14"/>
      <c r="L926" s="14"/>
      <c r="M926" s="14"/>
    </row>
    <row r="927" spans="2:13" s="7" customFormat="1" ht="13.5">
      <c r="B927" s="30"/>
      <c r="C927" s="30"/>
      <c r="D927" s="31"/>
      <c r="E927" s="35"/>
      <c r="F927" s="130"/>
      <c r="G927" s="14"/>
      <c r="H927" s="14"/>
      <c r="I927" s="14"/>
      <c r="J927" s="14"/>
      <c r="K927" s="14"/>
      <c r="L927" s="14"/>
      <c r="M927" s="14"/>
    </row>
    <row r="928" spans="2:13" s="7" customFormat="1" ht="13.5">
      <c r="B928" s="30"/>
      <c r="C928" s="30"/>
      <c r="D928" s="31"/>
      <c r="E928" s="35"/>
      <c r="F928" s="130"/>
      <c r="G928" s="14"/>
      <c r="H928" s="14"/>
      <c r="I928" s="14"/>
      <c r="J928" s="14"/>
      <c r="K928" s="14"/>
      <c r="L928" s="14"/>
      <c r="M928" s="14"/>
    </row>
    <row r="929" spans="2:13" s="7" customFormat="1" ht="13.5">
      <c r="B929" s="30"/>
      <c r="C929" s="30"/>
      <c r="D929" s="31"/>
      <c r="E929" s="35"/>
      <c r="F929" s="130"/>
      <c r="G929" s="14"/>
      <c r="H929" s="14"/>
      <c r="I929" s="14"/>
      <c r="J929" s="14"/>
      <c r="K929" s="14"/>
      <c r="L929" s="14"/>
      <c r="M929" s="14"/>
    </row>
    <row r="930" spans="2:13" s="7" customFormat="1" ht="13.5">
      <c r="B930" s="30"/>
      <c r="C930" s="30"/>
      <c r="D930" s="31"/>
      <c r="E930" s="35"/>
      <c r="F930" s="130"/>
      <c r="G930" s="14"/>
      <c r="H930" s="14"/>
      <c r="I930" s="14"/>
      <c r="J930" s="14"/>
      <c r="K930" s="14"/>
      <c r="L930" s="14"/>
      <c r="M930" s="14"/>
    </row>
    <row r="931" spans="2:13" s="7" customFormat="1" ht="13.5">
      <c r="B931" s="30"/>
      <c r="C931" s="30"/>
      <c r="D931" s="31"/>
      <c r="E931" s="35"/>
      <c r="F931" s="130"/>
      <c r="G931" s="14"/>
      <c r="H931" s="14"/>
      <c r="I931" s="14"/>
      <c r="J931" s="14"/>
      <c r="K931" s="14"/>
      <c r="L931" s="14"/>
      <c r="M931" s="14"/>
    </row>
    <row r="932" spans="2:13" s="7" customFormat="1" ht="13.5">
      <c r="B932" s="30"/>
      <c r="C932" s="30"/>
      <c r="D932" s="31"/>
      <c r="E932" s="35"/>
      <c r="F932" s="130"/>
      <c r="G932" s="14"/>
      <c r="H932" s="14"/>
      <c r="I932" s="14"/>
      <c r="J932" s="14"/>
      <c r="K932" s="14"/>
      <c r="L932" s="14"/>
      <c r="M932" s="14"/>
    </row>
    <row r="933" spans="2:13" s="7" customFormat="1" ht="13.5">
      <c r="B933" s="30"/>
      <c r="C933" s="30"/>
      <c r="D933" s="31"/>
      <c r="E933" s="35"/>
      <c r="F933" s="130"/>
      <c r="G933" s="14"/>
      <c r="H933" s="14"/>
      <c r="I933" s="14"/>
      <c r="J933" s="14"/>
      <c r="K933" s="14"/>
      <c r="L933" s="14"/>
      <c r="M933" s="14"/>
    </row>
    <row r="934" spans="2:13" s="7" customFormat="1" ht="13.5">
      <c r="B934" s="30"/>
      <c r="C934" s="30"/>
      <c r="D934" s="31"/>
      <c r="E934" s="35"/>
      <c r="F934" s="130"/>
      <c r="G934" s="14"/>
      <c r="H934" s="14"/>
      <c r="I934" s="14"/>
      <c r="J934" s="14"/>
      <c r="K934" s="14"/>
      <c r="L934" s="14"/>
      <c r="M934" s="14"/>
    </row>
    <row r="935" spans="2:13" s="7" customFormat="1" ht="13.5">
      <c r="B935" s="30"/>
      <c r="C935" s="30"/>
      <c r="D935" s="31"/>
      <c r="E935" s="35"/>
      <c r="F935" s="130"/>
      <c r="G935" s="14"/>
      <c r="H935" s="14"/>
      <c r="I935" s="14"/>
      <c r="J935" s="14"/>
      <c r="K935" s="14"/>
      <c r="L935" s="14"/>
      <c r="M935" s="14"/>
    </row>
    <row r="936" spans="2:13" s="7" customFormat="1" ht="13.5">
      <c r="B936" s="30"/>
      <c r="C936" s="30"/>
      <c r="D936" s="31"/>
      <c r="E936" s="35"/>
      <c r="F936" s="130"/>
      <c r="G936" s="14"/>
      <c r="H936" s="14"/>
      <c r="I936" s="14"/>
      <c r="J936" s="14"/>
      <c r="K936" s="14"/>
      <c r="L936" s="14"/>
      <c r="M936" s="14"/>
    </row>
    <row r="937" spans="2:13" s="7" customFormat="1" ht="13.5">
      <c r="B937" s="30"/>
      <c r="C937" s="30"/>
      <c r="D937" s="31"/>
      <c r="E937" s="35"/>
      <c r="F937" s="130"/>
      <c r="G937" s="14"/>
      <c r="H937" s="14"/>
      <c r="I937" s="14"/>
      <c r="J937" s="14"/>
      <c r="K937" s="14"/>
      <c r="L937" s="14"/>
      <c r="M937" s="14"/>
    </row>
    <row r="938" spans="2:13" s="7" customFormat="1" ht="13.5">
      <c r="B938" s="30"/>
      <c r="C938" s="30"/>
      <c r="D938" s="31"/>
      <c r="E938" s="35"/>
      <c r="F938" s="130"/>
      <c r="G938" s="14"/>
      <c r="H938" s="14"/>
      <c r="I938" s="14"/>
      <c r="J938" s="14"/>
      <c r="K938" s="14"/>
      <c r="L938" s="14"/>
      <c r="M938" s="14"/>
    </row>
    <row r="939" spans="2:13" s="7" customFormat="1" ht="13.5">
      <c r="B939" s="30"/>
      <c r="C939" s="30"/>
      <c r="D939" s="31"/>
      <c r="E939" s="35"/>
      <c r="F939" s="130"/>
      <c r="G939" s="14"/>
      <c r="H939" s="14"/>
      <c r="I939" s="14"/>
      <c r="J939" s="14"/>
      <c r="K939" s="14"/>
      <c r="L939" s="14"/>
      <c r="M939" s="14"/>
    </row>
    <row r="940" spans="2:13" s="7" customFormat="1" ht="13.5">
      <c r="B940" s="30"/>
      <c r="C940" s="30"/>
      <c r="D940" s="31"/>
      <c r="E940" s="35"/>
      <c r="F940" s="130"/>
      <c r="G940" s="14"/>
      <c r="H940" s="14"/>
      <c r="I940" s="14"/>
      <c r="J940" s="14"/>
      <c r="K940" s="14"/>
      <c r="L940" s="14"/>
      <c r="M940" s="14"/>
    </row>
    <row r="941" spans="2:13" s="7" customFormat="1" ht="13.5">
      <c r="B941" s="30"/>
      <c r="C941" s="30"/>
      <c r="D941" s="31"/>
      <c r="E941" s="35"/>
      <c r="F941" s="130"/>
      <c r="G941" s="14"/>
      <c r="H941" s="14"/>
      <c r="I941" s="14"/>
      <c r="J941" s="14"/>
      <c r="K941" s="14"/>
      <c r="L941" s="14"/>
      <c r="M941" s="14"/>
    </row>
    <row r="942" spans="2:13" s="7" customFormat="1" ht="13.5">
      <c r="B942" s="30"/>
      <c r="C942" s="30"/>
      <c r="D942" s="31"/>
      <c r="E942" s="35"/>
      <c r="F942" s="130"/>
      <c r="G942" s="14"/>
      <c r="H942" s="14"/>
      <c r="I942" s="14"/>
      <c r="J942" s="14"/>
      <c r="K942" s="14"/>
      <c r="L942" s="14"/>
      <c r="M942" s="14"/>
    </row>
    <row r="943" spans="2:13" s="7" customFormat="1" ht="13.5">
      <c r="B943" s="30"/>
      <c r="C943" s="30"/>
      <c r="D943" s="31"/>
      <c r="E943" s="35"/>
      <c r="F943" s="130"/>
      <c r="G943" s="14"/>
      <c r="H943" s="14"/>
      <c r="I943" s="14"/>
      <c r="J943" s="14"/>
      <c r="K943" s="14"/>
      <c r="L943" s="14"/>
      <c r="M943" s="14"/>
    </row>
    <row r="944" spans="2:13" s="7" customFormat="1" ht="13.5">
      <c r="B944" s="30"/>
      <c r="C944" s="30"/>
      <c r="D944" s="31"/>
      <c r="E944" s="35"/>
      <c r="F944" s="130"/>
      <c r="G944" s="14"/>
      <c r="H944" s="14"/>
      <c r="I944" s="14"/>
      <c r="J944" s="14"/>
      <c r="K944" s="14"/>
      <c r="L944" s="14"/>
      <c r="M944" s="14"/>
    </row>
    <row r="945" spans="2:13" s="7" customFormat="1" ht="13.5">
      <c r="B945" s="30"/>
      <c r="C945" s="30"/>
      <c r="D945" s="31"/>
      <c r="E945" s="35"/>
      <c r="F945" s="130"/>
      <c r="G945" s="14"/>
      <c r="H945" s="14"/>
      <c r="I945" s="14"/>
      <c r="J945" s="14"/>
      <c r="K945" s="14"/>
      <c r="L945" s="14"/>
      <c r="M945" s="14"/>
    </row>
    <row r="946" spans="2:13" s="7" customFormat="1" ht="13.5">
      <c r="B946" s="30"/>
      <c r="C946" s="30"/>
      <c r="D946" s="31"/>
      <c r="E946" s="35"/>
      <c r="F946" s="130"/>
      <c r="G946" s="14"/>
      <c r="H946" s="14"/>
      <c r="I946" s="14"/>
      <c r="J946" s="14"/>
      <c r="K946" s="14"/>
      <c r="L946" s="14"/>
      <c r="M946" s="14"/>
    </row>
    <row r="947" spans="2:13" s="7" customFormat="1" ht="13.5">
      <c r="B947" s="30"/>
      <c r="C947" s="30"/>
      <c r="D947" s="31"/>
      <c r="E947" s="35"/>
      <c r="F947" s="130"/>
      <c r="G947" s="14"/>
      <c r="H947" s="14"/>
      <c r="I947" s="14"/>
      <c r="J947" s="14"/>
      <c r="K947" s="14"/>
      <c r="L947" s="14"/>
      <c r="M947" s="14"/>
    </row>
    <row r="948" spans="2:13" s="7" customFormat="1" ht="13.5">
      <c r="B948" s="30"/>
      <c r="C948" s="30"/>
      <c r="D948" s="31"/>
      <c r="E948" s="35"/>
      <c r="F948" s="130"/>
      <c r="G948" s="14"/>
      <c r="H948" s="14"/>
      <c r="I948" s="14"/>
      <c r="J948" s="14"/>
      <c r="K948" s="14"/>
      <c r="L948" s="14"/>
      <c r="M948" s="14"/>
    </row>
    <row r="949" spans="2:13" s="7" customFormat="1" ht="13.5">
      <c r="B949" s="30"/>
      <c r="C949" s="30"/>
      <c r="D949" s="31"/>
      <c r="E949" s="35"/>
      <c r="F949" s="130"/>
      <c r="G949" s="14"/>
      <c r="H949" s="14"/>
      <c r="I949" s="14"/>
      <c r="J949" s="14"/>
      <c r="K949" s="14"/>
      <c r="L949" s="14"/>
      <c r="M949" s="14"/>
    </row>
    <row r="950" spans="2:13" s="7" customFormat="1" ht="13.5">
      <c r="B950" s="30"/>
      <c r="C950" s="30"/>
      <c r="D950" s="31"/>
      <c r="E950" s="35"/>
      <c r="F950" s="130"/>
      <c r="G950" s="14"/>
      <c r="H950" s="14"/>
      <c r="I950" s="14"/>
      <c r="J950" s="14"/>
      <c r="K950" s="14"/>
      <c r="L950" s="14"/>
      <c r="M950" s="14"/>
    </row>
    <row r="951" spans="2:13" s="7" customFormat="1" ht="13.5">
      <c r="B951" s="30"/>
      <c r="C951" s="30"/>
      <c r="D951" s="31"/>
      <c r="E951" s="35"/>
      <c r="F951" s="130"/>
      <c r="G951" s="14"/>
      <c r="H951" s="14"/>
      <c r="I951" s="14"/>
      <c r="J951" s="14"/>
      <c r="K951" s="14"/>
      <c r="L951" s="14"/>
      <c r="M951" s="14"/>
    </row>
    <row r="952" spans="2:13" s="7" customFormat="1" ht="13.5">
      <c r="B952" s="30"/>
      <c r="C952" s="30"/>
      <c r="D952" s="31"/>
      <c r="E952" s="35"/>
      <c r="F952" s="130"/>
      <c r="G952" s="14"/>
      <c r="H952" s="14"/>
      <c r="I952" s="14"/>
      <c r="J952" s="14"/>
      <c r="K952" s="14"/>
      <c r="L952" s="14"/>
      <c r="M952" s="14"/>
    </row>
    <row r="953" spans="2:13" s="7" customFormat="1" ht="13.5">
      <c r="B953" s="30"/>
      <c r="C953" s="30"/>
      <c r="D953" s="31"/>
      <c r="E953" s="35"/>
      <c r="F953" s="130"/>
      <c r="G953" s="14"/>
      <c r="H953" s="14"/>
      <c r="I953" s="14"/>
      <c r="J953" s="14"/>
      <c r="K953" s="14"/>
      <c r="L953" s="14"/>
      <c r="M953" s="14"/>
    </row>
    <row r="954" spans="2:13" s="7" customFormat="1" ht="13.5">
      <c r="B954" s="30"/>
      <c r="C954" s="30"/>
      <c r="D954" s="31"/>
      <c r="E954" s="35"/>
      <c r="F954" s="130"/>
      <c r="G954" s="14"/>
      <c r="H954" s="14"/>
      <c r="I954" s="14"/>
      <c r="J954" s="14"/>
      <c r="K954" s="14"/>
      <c r="L954" s="14"/>
      <c r="M954" s="14"/>
    </row>
    <row r="955" spans="2:13" s="7" customFormat="1" ht="13.5">
      <c r="B955" s="30"/>
      <c r="C955" s="30"/>
      <c r="D955" s="31"/>
      <c r="E955" s="35"/>
      <c r="F955" s="130"/>
      <c r="G955" s="14"/>
      <c r="H955" s="14"/>
      <c r="I955" s="14"/>
      <c r="J955" s="14"/>
      <c r="K955" s="14"/>
      <c r="L955" s="14"/>
      <c r="M955" s="14"/>
    </row>
    <row r="956" spans="2:13" s="7" customFormat="1" ht="13.5">
      <c r="B956" s="30"/>
      <c r="C956" s="30"/>
      <c r="D956" s="31"/>
      <c r="E956" s="35"/>
      <c r="F956" s="130"/>
      <c r="G956" s="14"/>
      <c r="H956" s="14"/>
      <c r="I956" s="14"/>
      <c r="J956" s="14"/>
      <c r="K956" s="14"/>
      <c r="L956" s="14"/>
      <c r="M956" s="14"/>
    </row>
    <row r="957" spans="2:13" s="7" customFormat="1" ht="13.5">
      <c r="B957" s="30"/>
      <c r="C957" s="30"/>
      <c r="D957" s="31"/>
      <c r="E957" s="35"/>
      <c r="F957" s="130"/>
      <c r="G957" s="14"/>
      <c r="H957" s="14"/>
      <c r="I957" s="14"/>
      <c r="J957" s="14"/>
      <c r="K957" s="14"/>
      <c r="L957" s="14"/>
      <c r="M957" s="14"/>
    </row>
    <row r="958" spans="2:13" s="7" customFormat="1" ht="13.5">
      <c r="B958" s="30"/>
      <c r="C958" s="30"/>
      <c r="D958" s="31"/>
      <c r="E958" s="35"/>
      <c r="F958" s="130"/>
      <c r="G958" s="14"/>
      <c r="H958" s="14"/>
      <c r="I958" s="14"/>
      <c r="J958" s="14"/>
      <c r="K958" s="14"/>
      <c r="L958" s="14"/>
      <c r="M958" s="14"/>
    </row>
    <row r="959" spans="2:13" s="7" customFormat="1" ht="13.5">
      <c r="B959" s="30"/>
      <c r="C959" s="30"/>
      <c r="D959" s="31"/>
      <c r="E959" s="35"/>
      <c r="F959" s="130"/>
      <c r="G959" s="14"/>
      <c r="H959" s="14"/>
      <c r="I959" s="14"/>
      <c r="J959" s="14"/>
      <c r="K959" s="14"/>
      <c r="L959" s="14"/>
      <c r="M959" s="14"/>
    </row>
    <row r="960" spans="2:13" s="7" customFormat="1" ht="13.5">
      <c r="B960" s="30"/>
      <c r="C960" s="30"/>
      <c r="D960" s="31"/>
      <c r="E960" s="35"/>
      <c r="F960" s="130"/>
      <c r="G960" s="14"/>
      <c r="H960" s="14"/>
      <c r="I960" s="14"/>
      <c r="J960" s="14"/>
      <c r="K960" s="14"/>
      <c r="L960" s="14"/>
      <c r="M960" s="14"/>
    </row>
    <row r="961" spans="2:13" s="7" customFormat="1" ht="13.5">
      <c r="B961" s="30"/>
      <c r="C961" s="30"/>
      <c r="D961" s="31"/>
      <c r="E961" s="35"/>
      <c r="F961" s="130"/>
      <c r="G961" s="14"/>
      <c r="H961" s="14"/>
      <c r="I961" s="14"/>
      <c r="J961" s="14"/>
      <c r="K961" s="14"/>
      <c r="L961" s="14"/>
      <c r="M961" s="14"/>
    </row>
    <row r="962" spans="2:13" s="7" customFormat="1" ht="13.5">
      <c r="B962" s="30"/>
      <c r="C962" s="30"/>
      <c r="D962" s="31"/>
      <c r="E962" s="35"/>
      <c r="F962" s="130"/>
      <c r="G962" s="14"/>
      <c r="H962" s="14"/>
      <c r="I962" s="14"/>
      <c r="J962" s="14"/>
      <c r="K962" s="14"/>
      <c r="L962" s="14"/>
      <c r="M962" s="14"/>
    </row>
    <row r="963" spans="2:13" s="7" customFormat="1" ht="13.5">
      <c r="B963" s="30"/>
      <c r="C963" s="30"/>
      <c r="D963" s="31"/>
      <c r="E963" s="35"/>
      <c r="F963" s="130"/>
      <c r="G963" s="14"/>
      <c r="H963" s="14"/>
      <c r="I963" s="14"/>
      <c r="J963" s="14"/>
      <c r="K963" s="14"/>
      <c r="L963" s="14"/>
      <c r="M963" s="14"/>
    </row>
    <row r="964" spans="2:13" s="7" customFormat="1" ht="13.5">
      <c r="B964" s="30"/>
      <c r="C964" s="30"/>
      <c r="D964" s="31"/>
      <c r="E964" s="35"/>
      <c r="F964" s="130"/>
      <c r="G964" s="14"/>
      <c r="H964" s="14"/>
      <c r="I964" s="14"/>
      <c r="J964" s="14"/>
      <c r="K964" s="14"/>
      <c r="L964" s="14"/>
      <c r="M964" s="14"/>
    </row>
    <row r="965" spans="2:13" s="7" customFormat="1" ht="13.5">
      <c r="B965" s="30"/>
      <c r="C965" s="30"/>
      <c r="D965" s="31"/>
      <c r="E965" s="35"/>
      <c r="F965" s="130"/>
      <c r="G965" s="14"/>
      <c r="H965" s="14"/>
      <c r="I965" s="14"/>
      <c r="J965" s="14"/>
      <c r="K965" s="14"/>
      <c r="L965" s="14"/>
      <c r="M965" s="14"/>
    </row>
    <row r="966" spans="2:13" s="7" customFormat="1" ht="13.5">
      <c r="B966" s="30"/>
      <c r="C966" s="30"/>
      <c r="D966" s="31"/>
      <c r="E966" s="35"/>
      <c r="F966" s="130"/>
      <c r="G966" s="14"/>
      <c r="H966" s="14"/>
      <c r="I966" s="14"/>
      <c r="J966" s="14"/>
      <c r="K966" s="14"/>
      <c r="L966" s="14"/>
      <c r="M966" s="14"/>
    </row>
    <row r="967" spans="2:13" s="7" customFormat="1" ht="13.5">
      <c r="B967" s="30"/>
      <c r="C967" s="30"/>
      <c r="D967" s="31"/>
      <c r="E967" s="35"/>
      <c r="F967" s="130"/>
      <c r="G967" s="14"/>
      <c r="H967" s="14"/>
      <c r="I967" s="14"/>
      <c r="J967" s="14"/>
      <c r="K967" s="14"/>
      <c r="L967" s="14"/>
      <c r="M967" s="14"/>
    </row>
    <row r="968" spans="2:13" s="7" customFormat="1" ht="13.5">
      <c r="B968" s="30"/>
      <c r="C968" s="30"/>
      <c r="D968" s="31"/>
      <c r="E968" s="35"/>
      <c r="F968" s="130"/>
      <c r="G968" s="14"/>
      <c r="H968" s="14"/>
      <c r="I968" s="14"/>
      <c r="J968" s="14"/>
      <c r="K968" s="14"/>
      <c r="L968" s="14"/>
      <c r="M968" s="14"/>
    </row>
    <row r="969" spans="2:13" s="7" customFormat="1" ht="13.5">
      <c r="B969" s="30"/>
      <c r="C969" s="30"/>
      <c r="D969" s="31"/>
      <c r="E969" s="35"/>
      <c r="F969" s="130"/>
      <c r="G969" s="14"/>
      <c r="H969" s="14"/>
      <c r="I969" s="14"/>
      <c r="J969" s="14"/>
      <c r="K969" s="14"/>
      <c r="L969" s="14"/>
      <c r="M969" s="14"/>
    </row>
    <row r="970" spans="2:13" s="7" customFormat="1" ht="13.5">
      <c r="B970" s="30"/>
      <c r="C970" s="30"/>
      <c r="D970" s="31"/>
      <c r="E970" s="35"/>
      <c r="F970" s="130"/>
      <c r="G970" s="14"/>
      <c r="H970" s="14"/>
      <c r="I970" s="14"/>
      <c r="J970" s="14"/>
      <c r="K970" s="14"/>
      <c r="L970" s="14"/>
      <c r="M970" s="14"/>
    </row>
    <row r="971" spans="2:13" s="7" customFormat="1" ht="13.5">
      <c r="B971" s="30"/>
      <c r="C971" s="30"/>
      <c r="D971" s="31"/>
      <c r="E971" s="35"/>
      <c r="F971" s="130"/>
      <c r="G971" s="14"/>
      <c r="H971" s="14"/>
      <c r="I971" s="14"/>
      <c r="J971" s="14"/>
      <c r="K971" s="14"/>
      <c r="L971" s="14"/>
      <c r="M971" s="14"/>
    </row>
    <row r="972" spans="2:13" s="7" customFormat="1" ht="13.5">
      <c r="B972" s="30"/>
      <c r="C972" s="30"/>
      <c r="D972" s="31"/>
      <c r="E972" s="35"/>
      <c r="F972" s="130"/>
      <c r="G972" s="14"/>
      <c r="H972" s="14"/>
      <c r="I972" s="14"/>
      <c r="J972" s="14"/>
      <c r="K972" s="14"/>
      <c r="L972" s="14"/>
      <c r="M972" s="14"/>
    </row>
    <row r="973" spans="2:13" s="7" customFormat="1" ht="13.5">
      <c r="B973" s="30"/>
      <c r="C973" s="30"/>
      <c r="D973" s="31"/>
      <c r="E973" s="35"/>
      <c r="F973" s="130"/>
      <c r="G973" s="14"/>
      <c r="H973" s="14"/>
      <c r="I973" s="14"/>
      <c r="J973" s="14"/>
      <c r="K973" s="14"/>
      <c r="L973" s="14"/>
      <c r="M973" s="14"/>
    </row>
    <row r="974" spans="2:13" s="7" customFormat="1" ht="13.5">
      <c r="B974" s="30"/>
      <c r="C974" s="30"/>
      <c r="D974" s="31"/>
      <c r="E974" s="35"/>
      <c r="F974" s="130"/>
      <c r="G974" s="14"/>
      <c r="H974" s="14"/>
      <c r="I974" s="14"/>
      <c r="J974" s="14"/>
      <c r="K974" s="14"/>
      <c r="L974" s="14"/>
      <c r="M974" s="14"/>
    </row>
    <row r="975" spans="2:13" s="7" customFormat="1" ht="13.5">
      <c r="B975" s="30"/>
      <c r="C975" s="30"/>
      <c r="D975" s="31"/>
      <c r="E975" s="35"/>
      <c r="F975" s="130"/>
      <c r="G975" s="14"/>
      <c r="H975" s="14"/>
      <c r="I975" s="14"/>
      <c r="J975" s="14"/>
      <c r="K975" s="14"/>
      <c r="L975" s="14"/>
      <c r="M975" s="14"/>
    </row>
    <row r="976" spans="2:13" s="7" customFormat="1" ht="13.5">
      <c r="B976" s="30"/>
      <c r="C976" s="30"/>
      <c r="D976" s="31"/>
      <c r="E976" s="35"/>
      <c r="F976" s="130"/>
      <c r="G976" s="14"/>
      <c r="H976" s="14"/>
      <c r="I976" s="14"/>
      <c r="J976" s="14"/>
      <c r="K976" s="14"/>
      <c r="L976" s="14"/>
      <c r="M976" s="14"/>
    </row>
    <row r="977" spans="2:13" s="7" customFormat="1" ht="13.5">
      <c r="B977" s="30"/>
      <c r="C977" s="30"/>
      <c r="D977" s="31"/>
      <c r="E977" s="35"/>
      <c r="F977" s="130"/>
      <c r="G977" s="14"/>
      <c r="H977" s="14"/>
      <c r="I977" s="14"/>
      <c r="J977" s="14"/>
      <c r="K977" s="14"/>
      <c r="L977" s="14"/>
      <c r="M977" s="14"/>
    </row>
    <row r="978" spans="2:13" s="7" customFormat="1" ht="13.5">
      <c r="B978" s="30"/>
      <c r="C978" s="30"/>
      <c r="D978" s="31"/>
      <c r="E978" s="35"/>
      <c r="F978" s="130"/>
      <c r="G978" s="14"/>
      <c r="H978" s="14"/>
      <c r="I978" s="14"/>
      <c r="J978" s="14"/>
      <c r="K978" s="14"/>
      <c r="L978" s="14"/>
      <c r="M978" s="14"/>
    </row>
    <row r="979" spans="2:13" s="7" customFormat="1" ht="13.5">
      <c r="B979" s="30"/>
      <c r="C979" s="30"/>
      <c r="D979" s="31"/>
      <c r="E979" s="35"/>
      <c r="F979" s="130"/>
      <c r="G979" s="14"/>
      <c r="H979" s="14"/>
      <c r="I979" s="14"/>
      <c r="J979" s="14"/>
      <c r="K979" s="14"/>
      <c r="L979" s="14"/>
      <c r="M979" s="14"/>
    </row>
    <row r="980" spans="2:13" s="7" customFormat="1" ht="13.5">
      <c r="B980" s="30"/>
      <c r="C980" s="30"/>
      <c r="D980" s="31"/>
      <c r="E980" s="35"/>
      <c r="F980" s="130"/>
      <c r="G980" s="14"/>
      <c r="H980" s="14"/>
      <c r="I980" s="14"/>
      <c r="J980" s="14"/>
      <c r="K980" s="14"/>
      <c r="L980" s="14"/>
      <c r="M980" s="14"/>
    </row>
    <row r="981" spans="2:13" s="7" customFormat="1" ht="13.5">
      <c r="B981" s="30"/>
      <c r="C981" s="30"/>
      <c r="D981" s="31"/>
      <c r="E981" s="35"/>
      <c r="F981" s="130"/>
      <c r="G981" s="14"/>
      <c r="H981" s="14"/>
      <c r="I981" s="14"/>
      <c r="J981" s="14"/>
      <c r="K981" s="14"/>
      <c r="L981" s="14"/>
      <c r="M981" s="14"/>
    </row>
    <row r="982" spans="2:13" s="7" customFormat="1" ht="13.5">
      <c r="B982" s="30"/>
      <c r="C982" s="30"/>
      <c r="D982" s="31"/>
      <c r="E982" s="35"/>
      <c r="F982" s="130"/>
      <c r="G982" s="14"/>
      <c r="H982" s="14"/>
      <c r="I982" s="14"/>
      <c r="J982" s="14"/>
      <c r="K982" s="14"/>
      <c r="L982" s="14"/>
      <c r="M982" s="14"/>
    </row>
    <row r="983" spans="2:13" s="7" customFormat="1" ht="13.5">
      <c r="B983" s="30"/>
      <c r="C983" s="30"/>
      <c r="D983" s="31"/>
      <c r="E983" s="35"/>
      <c r="F983" s="130"/>
      <c r="G983" s="14"/>
      <c r="H983" s="14"/>
      <c r="I983" s="14"/>
      <c r="J983" s="14"/>
      <c r="K983" s="14"/>
      <c r="L983" s="14"/>
      <c r="M983" s="14"/>
    </row>
    <row r="984" spans="2:13" s="7" customFormat="1" ht="13.5">
      <c r="B984" s="30"/>
      <c r="C984" s="30"/>
      <c r="D984" s="31"/>
      <c r="E984" s="35"/>
      <c r="F984" s="130"/>
      <c r="G984" s="14"/>
      <c r="H984" s="14"/>
      <c r="I984" s="14"/>
      <c r="J984" s="14"/>
      <c r="K984" s="14"/>
      <c r="L984" s="14"/>
      <c r="M984" s="14"/>
    </row>
    <row r="985" spans="2:13" s="7" customFormat="1" ht="13.5">
      <c r="B985" s="30"/>
      <c r="C985" s="30"/>
      <c r="D985" s="31"/>
      <c r="E985" s="35"/>
      <c r="F985" s="130"/>
      <c r="G985" s="14"/>
      <c r="H985" s="14"/>
      <c r="I985" s="14"/>
      <c r="J985" s="14"/>
      <c r="K985" s="14"/>
      <c r="L985" s="14"/>
      <c r="M985" s="14"/>
    </row>
    <row r="986" spans="2:13" s="7" customFormat="1" ht="13.5">
      <c r="B986" s="30"/>
      <c r="C986" s="30"/>
      <c r="D986" s="31"/>
      <c r="E986" s="35"/>
      <c r="F986" s="130"/>
      <c r="G986" s="14"/>
      <c r="H986" s="14"/>
      <c r="I986" s="14"/>
      <c r="J986" s="14"/>
      <c r="K986" s="14"/>
      <c r="L986" s="14"/>
      <c r="M986" s="14"/>
    </row>
    <row r="987" spans="2:13" s="7" customFormat="1" ht="13.5">
      <c r="B987" s="30"/>
      <c r="C987" s="30"/>
      <c r="D987" s="31"/>
      <c r="E987" s="35"/>
      <c r="F987" s="130"/>
      <c r="G987" s="14"/>
      <c r="H987" s="14"/>
      <c r="I987" s="14"/>
      <c r="J987" s="14"/>
      <c r="K987" s="14"/>
      <c r="L987" s="14"/>
      <c r="M987" s="14"/>
    </row>
    <row r="988" spans="2:13" s="7" customFormat="1" ht="13.5">
      <c r="B988" s="30"/>
      <c r="C988" s="30"/>
      <c r="D988" s="31"/>
      <c r="E988" s="35"/>
      <c r="F988" s="130"/>
      <c r="G988" s="14"/>
      <c r="H988" s="14"/>
      <c r="I988" s="14"/>
      <c r="J988" s="14"/>
      <c r="K988" s="14"/>
      <c r="L988" s="14"/>
      <c r="M988" s="14"/>
    </row>
    <row r="989" spans="2:13" s="7" customFormat="1" ht="13.5">
      <c r="B989" s="30"/>
      <c r="C989" s="30"/>
      <c r="D989" s="31"/>
      <c r="E989" s="35"/>
      <c r="F989" s="130"/>
      <c r="G989" s="14"/>
      <c r="H989" s="14"/>
      <c r="I989" s="14"/>
      <c r="J989" s="14"/>
      <c r="K989" s="14"/>
      <c r="L989" s="14"/>
      <c r="M989" s="14"/>
    </row>
    <row r="990" spans="2:13" s="7" customFormat="1" ht="13.5">
      <c r="B990" s="30"/>
      <c r="C990" s="30"/>
      <c r="D990" s="31"/>
      <c r="E990" s="35"/>
      <c r="F990" s="130"/>
      <c r="G990" s="14"/>
      <c r="H990" s="14"/>
      <c r="I990" s="14"/>
      <c r="J990" s="14"/>
      <c r="K990" s="14"/>
      <c r="L990" s="14"/>
      <c r="M990" s="14"/>
    </row>
    <row r="991" spans="2:13" s="7" customFormat="1" ht="13.5">
      <c r="B991" s="30"/>
      <c r="C991" s="30"/>
      <c r="D991" s="31"/>
      <c r="E991" s="35"/>
      <c r="F991" s="130"/>
      <c r="G991" s="14"/>
      <c r="H991" s="14"/>
      <c r="I991" s="14"/>
      <c r="J991" s="14"/>
      <c r="K991" s="14"/>
      <c r="L991" s="14"/>
      <c r="M991" s="14"/>
    </row>
    <row r="992" spans="2:13" s="7" customFormat="1" ht="13.5">
      <c r="B992" s="30"/>
      <c r="C992" s="30"/>
      <c r="D992" s="31"/>
      <c r="E992" s="35"/>
      <c r="F992" s="130"/>
      <c r="G992" s="14"/>
      <c r="H992" s="14"/>
      <c r="I992" s="14"/>
      <c r="J992" s="14"/>
      <c r="K992" s="14"/>
      <c r="L992" s="14"/>
      <c r="M992" s="14"/>
    </row>
    <row r="993" spans="2:13" s="7" customFormat="1" ht="13.5">
      <c r="B993" s="30"/>
      <c r="C993" s="30"/>
      <c r="D993" s="31"/>
      <c r="E993" s="35"/>
      <c r="F993" s="130"/>
      <c r="G993" s="14"/>
      <c r="H993" s="14"/>
      <c r="I993" s="14"/>
      <c r="J993" s="14"/>
      <c r="K993" s="14"/>
      <c r="L993" s="14"/>
      <c r="M993" s="14"/>
    </row>
    <row r="994" spans="2:13" s="7" customFormat="1" ht="13.5">
      <c r="B994" s="30"/>
      <c r="C994" s="30"/>
      <c r="D994" s="31"/>
      <c r="E994" s="35"/>
      <c r="F994" s="130"/>
      <c r="G994" s="14"/>
      <c r="H994" s="14"/>
      <c r="I994" s="14"/>
      <c r="J994" s="14"/>
      <c r="K994" s="14"/>
      <c r="L994" s="14"/>
      <c r="M994" s="14"/>
    </row>
    <row r="995" spans="2:13" s="7" customFormat="1" ht="13.5">
      <c r="B995" s="30"/>
      <c r="C995" s="30"/>
      <c r="D995" s="31"/>
      <c r="E995" s="35"/>
      <c r="F995" s="130"/>
      <c r="G995" s="14"/>
      <c r="H995" s="14"/>
      <c r="I995" s="14"/>
      <c r="J995" s="14"/>
      <c r="K995" s="14"/>
      <c r="L995" s="14"/>
      <c r="M995" s="14"/>
    </row>
    <row r="996" spans="2:13" s="7" customFormat="1" ht="13.5">
      <c r="B996" s="30"/>
      <c r="C996" s="30"/>
      <c r="D996" s="31"/>
      <c r="E996" s="35"/>
      <c r="F996" s="130"/>
      <c r="G996" s="14"/>
      <c r="H996" s="14"/>
      <c r="I996" s="14"/>
      <c r="J996" s="14"/>
      <c r="K996" s="14"/>
      <c r="L996" s="14"/>
      <c r="M996" s="14"/>
    </row>
    <row r="997" spans="2:13" s="7" customFormat="1" ht="13.5">
      <c r="B997" s="30"/>
      <c r="C997" s="30"/>
      <c r="D997" s="31"/>
      <c r="E997" s="35"/>
      <c r="F997" s="130"/>
      <c r="G997" s="14"/>
      <c r="H997" s="14"/>
      <c r="I997" s="14"/>
      <c r="J997" s="14"/>
      <c r="K997" s="14"/>
      <c r="L997" s="14"/>
      <c r="M997" s="14"/>
    </row>
    <row r="998" spans="2:13" s="7" customFormat="1" ht="13.5">
      <c r="B998" s="30"/>
      <c r="C998" s="30"/>
      <c r="D998" s="31"/>
      <c r="E998" s="35"/>
      <c r="F998" s="130"/>
      <c r="G998" s="14"/>
      <c r="H998" s="14"/>
      <c r="I998" s="14"/>
      <c r="J998" s="14"/>
      <c r="K998" s="14"/>
      <c r="L998" s="14"/>
      <c r="M998" s="14"/>
    </row>
    <row r="999" spans="2:13" s="7" customFormat="1" ht="13.5">
      <c r="B999" s="30"/>
      <c r="C999" s="30"/>
      <c r="D999" s="31"/>
      <c r="E999" s="35"/>
      <c r="F999" s="130"/>
      <c r="G999" s="14"/>
      <c r="H999" s="14"/>
      <c r="I999" s="14"/>
      <c r="J999" s="14"/>
      <c r="K999" s="14"/>
      <c r="L999" s="14"/>
      <c r="M999" s="14"/>
    </row>
    <row r="1000" spans="2:13" s="7" customFormat="1" ht="13.5">
      <c r="B1000" s="30"/>
      <c r="C1000" s="30"/>
      <c r="D1000" s="31"/>
      <c r="E1000" s="35"/>
      <c r="F1000" s="130"/>
      <c r="G1000" s="14"/>
      <c r="H1000" s="14"/>
      <c r="I1000" s="14"/>
      <c r="J1000" s="14"/>
      <c r="K1000" s="14"/>
      <c r="L1000" s="14"/>
      <c r="M1000" s="14"/>
    </row>
    <row r="1001" spans="2:13" s="7" customFormat="1" ht="13.5">
      <c r="B1001" s="30"/>
      <c r="C1001" s="30"/>
      <c r="D1001" s="31"/>
      <c r="E1001" s="35"/>
      <c r="F1001" s="130"/>
      <c r="G1001" s="14"/>
      <c r="H1001" s="14"/>
      <c r="I1001" s="14"/>
      <c r="J1001" s="14"/>
      <c r="K1001" s="14"/>
      <c r="L1001" s="14"/>
      <c r="M1001" s="14"/>
    </row>
    <row r="1002" spans="2:13" s="7" customFormat="1" ht="13.5">
      <c r="B1002" s="30"/>
      <c r="C1002" s="30"/>
      <c r="D1002" s="31"/>
      <c r="E1002" s="35"/>
      <c r="F1002" s="130"/>
      <c r="G1002" s="14"/>
      <c r="H1002" s="14"/>
      <c r="I1002" s="14"/>
      <c r="J1002" s="14"/>
      <c r="K1002" s="14"/>
      <c r="L1002" s="14"/>
      <c r="M1002" s="14"/>
    </row>
    <row r="1003" spans="2:13" s="7" customFormat="1" ht="13.5">
      <c r="B1003" s="30"/>
      <c r="C1003" s="30"/>
      <c r="D1003" s="31"/>
      <c r="E1003" s="35"/>
      <c r="F1003" s="130"/>
      <c r="G1003" s="14"/>
      <c r="H1003" s="14"/>
      <c r="I1003" s="14"/>
      <c r="J1003" s="14"/>
      <c r="K1003" s="14"/>
      <c r="L1003" s="14"/>
      <c r="M1003" s="14"/>
    </row>
    <row r="1004" spans="2:13" s="7" customFormat="1" ht="13.5">
      <c r="B1004" s="30"/>
      <c r="C1004" s="30"/>
      <c r="D1004" s="31"/>
      <c r="E1004" s="35"/>
      <c r="F1004" s="130"/>
      <c r="G1004" s="14"/>
      <c r="H1004" s="14"/>
      <c r="I1004" s="14"/>
      <c r="J1004" s="14"/>
      <c r="K1004" s="14"/>
      <c r="L1004" s="14"/>
      <c r="M1004" s="14"/>
    </row>
    <row r="1005" spans="2:13" s="7" customFormat="1" ht="13.5">
      <c r="B1005" s="30"/>
      <c r="C1005" s="30"/>
      <c r="D1005" s="31"/>
      <c r="E1005" s="35"/>
      <c r="F1005" s="130"/>
      <c r="G1005" s="14"/>
      <c r="H1005" s="14"/>
      <c r="I1005" s="14"/>
      <c r="J1005" s="14"/>
      <c r="K1005" s="14"/>
      <c r="L1005" s="14"/>
      <c r="M1005" s="14"/>
    </row>
    <row r="1006" spans="2:13" s="7" customFormat="1" ht="13.5">
      <c r="B1006" s="30"/>
      <c r="C1006" s="30"/>
      <c r="D1006" s="31"/>
      <c r="E1006" s="35"/>
      <c r="F1006" s="130"/>
      <c r="G1006" s="14"/>
      <c r="H1006" s="14"/>
      <c r="I1006" s="14"/>
      <c r="J1006" s="14"/>
      <c r="K1006" s="14"/>
      <c r="L1006" s="14"/>
      <c r="M1006" s="14"/>
    </row>
    <row r="1007" spans="2:13" s="7" customFormat="1" ht="13.5">
      <c r="B1007" s="30"/>
      <c r="C1007" s="30"/>
      <c r="D1007" s="31"/>
      <c r="E1007" s="35"/>
      <c r="F1007" s="130"/>
      <c r="G1007" s="14"/>
      <c r="H1007" s="14"/>
      <c r="I1007" s="14"/>
      <c r="J1007" s="14"/>
      <c r="K1007" s="14"/>
      <c r="L1007" s="14"/>
      <c r="M1007" s="14"/>
    </row>
    <row r="1008" spans="2:13" s="7" customFormat="1" ht="13.5">
      <c r="B1008" s="30"/>
      <c r="C1008" s="30"/>
      <c r="D1008" s="31"/>
      <c r="E1008" s="35"/>
      <c r="F1008" s="130"/>
      <c r="G1008" s="14"/>
      <c r="H1008" s="14"/>
      <c r="I1008" s="14"/>
      <c r="J1008" s="14"/>
      <c r="K1008" s="14"/>
      <c r="L1008" s="14"/>
      <c r="M1008" s="14"/>
    </row>
    <row r="1009" spans="2:13" s="7" customFormat="1" ht="13.5">
      <c r="B1009" s="30"/>
      <c r="C1009" s="30"/>
      <c r="D1009" s="31"/>
      <c r="E1009" s="35"/>
      <c r="F1009" s="130"/>
      <c r="G1009" s="14"/>
      <c r="H1009" s="14"/>
      <c r="I1009" s="14"/>
      <c r="J1009" s="14"/>
      <c r="K1009" s="14"/>
      <c r="L1009" s="14"/>
      <c r="M1009" s="14"/>
    </row>
    <row r="1010" spans="2:13" s="7" customFormat="1" ht="13.5">
      <c r="B1010" s="30"/>
      <c r="C1010" s="30"/>
      <c r="D1010" s="31"/>
      <c r="E1010" s="35"/>
      <c r="F1010" s="130"/>
      <c r="G1010" s="14"/>
      <c r="H1010" s="14"/>
      <c r="I1010" s="14"/>
      <c r="J1010" s="14"/>
      <c r="K1010" s="14"/>
      <c r="L1010" s="14"/>
      <c r="M1010" s="14"/>
    </row>
    <row r="1011" spans="2:13" s="7" customFormat="1" ht="13.5">
      <c r="B1011" s="30"/>
      <c r="C1011" s="30"/>
      <c r="D1011" s="31"/>
      <c r="E1011" s="35"/>
      <c r="F1011" s="130"/>
      <c r="G1011" s="14"/>
      <c r="H1011" s="14"/>
      <c r="I1011" s="14"/>
      <c r="J1011" s="14"/>
      <c r="K1011" s="14"/>
      <c r="L1011" s="14"/>
      <c r="M1011" s="14"/>
    </row>
    <row r="1012" spans="2:13" s="7" customFormat="1" ht="13.5">
      <c r="B1012" s="30"/>
      <c r="C1012" s="30"/>
      <c r="D1012" s="31"/>
      <c r="E1012" s="35"/>
      <c r="F1012" s="130"/>
      <c r="G1012" s="14"/>
      <c r="H1012" s="14"/>
      <c r="I1012" s="14"/>
      <c r="J1012" s="14"/>
      <c r="K1012" s="14"/>
      <c r="L1012" s="14"/>
      <c r="M1012" s="14"/>
    </row>
    <row r="1013" spans="2:13" s="7" customFormat="1" ht="13.5">
      <c r="B1013" s="30"/>
      <c r="C1013" s="30"/>
      <c r="D1013" s="31"/>
      <c r="E1013" s="35"/>
      <c r="F1013" s="130"/>
      <c r="G1013" s="14"/>
      <c r="H1013" s="14"/>
      <c r="I1013" s="14"/>
      <c r="J1013" s="14"/>
      <c r="K1013" s="14"/>
      <c r="L1013" s="14"/>
      <c r="M1013" s="14"/>
    </row>
    <row r="1014" spans="2:13" s="7" customFormat="1" ht="13.5">
      <c r="B1014" s="30"/>
      <c r="C1014" s="30"/>
      <c r="D1014" s="31"/>
      <c r="E1014" s="35"/>
      <c r="F1014" s="130"/>
      <c r="G1014" s="14"/>
      <c r="H1014" s="14"/>
      <c r="I1014" s="14"/>
      <c r="J1014" s="14"/>
      <c r="K1014" s="14"/>
      <c r="L1014" s="14"/>
      <c r="M1014" s="14"/>
    </row>
    <row r="1015" spans="2:13" s="7" customFormat="1" ht="13.5">
      <c r="B1015" s="30"/>
      <c r="C1015" s="30"/>
      <c r="D1015" s="31"/>
      <c r="E1015" s="35"/>
      <c r="F1015" s="130"/>
      <c r="G1015" s="14"/>
      <c r="H1015" s="14"/>
      <c r="I1015" s="14"/>
      <c r="J1015" s="14"/>
      <c r="K1015" s="14"/>
      <c r="L1015" s="14"/>
      <c r="M1015" s="14"/>
    </row>
    <row r="1016" spans="2:13" s="7" customFormat="1" ht="13.5">
      <c r="B1016" s="30"/>
      <c r="C1016" s="30"/>
      <c r="D1016" s="31"/>
      <c r="E1016" s="35"/>
      <c r="F1016" s="130"/>
      <c r="G1016" s="14"/>
      <c r="H1016" s="14"/>
      <c r="I1016" s="14"/>
      <c r="J1016" s="14"/>
      <c r="K1016" s="14"/>
      <c r="L1016" s="14"/>
      <c r="M1016" s="14"/>
    </row>
    <row r="1017" spans="2:13" s="7" customFormat="1" ht="13.5">
      <c r="B1017" s="30"/>
      <c r="C1017" s="30"/>
      <c r="D1017" s="31"/>
      <c r="E1017" s="35"/>
      <c r="F1017" s="130"/>
      <c r="G1017" s="14"/>
      <c r="H1017" s="14"/>
      <c r="I1017" s="14"/>
      <c r="J1017" s="14"/>
      <c r="K1017" s="14"/>
      <c r="L1017" s="14"/>
      <c r="M1017" s="14"/>
    </row>
    <row r="1018" spans="2:13" s="7" customFormat="1" ht="13.5">
      <c r="B1018" s="30"/>
      <c r="C1018" s="30"/>
      <c r="D1018" s="31"/>
      <c r="E1018" s="35"/>
      <c r="F1018" s="130"/>
      <c r="G1018" s="14"/>
      <c r="H1018" s="14"/>
      <c r="I1018" s="14"/>
      <c r="J1018" s="14"/>
      <c r="K1018" s="14"/>
      <c r="L1018" s="14"/>
      <c r="M1018" s="14"/>
    </row>
    <row r="1019" spans="2:13" s="7" customFormat="1" ht="13.5">
      <c r="B1019" s="30"/>
      <c r="C1019" s="30"/>
      <c r="D1019" s="31"/>
      <c r="E1019" s="35"/>
      <c r="F1019" s="130"/>
      <c r="G1019" s="14"/>
      <c r="H1019" s="14"/>
      <c r="I1019" s="14"/>
      <c r="J1019" s="14"/>
      <c r="K1019" s="14"/>
      <c r="L1019" s="14"/>
      <c r="M1019" s="14"/>
    </row>
    <row r="1020" spans="2:13" s="7" customFormat="1" ht="13.5">
      <c r="B1020" s="30"/>
      <c r="C1020" s="30"/>
      <c r="D1020" s="31"/>
      <c r="E1020" s="35"/>
      <c r="F1020" s="130"/>
      <c r="G1020" s="14"/>
      <c r="H1020" s="14"/>
      <c r="I1020" s="14"/>
      <c r="J1020" s="14"/>
      <c r="K1020" s="14"/>
      <c r="L1020" s="14"/>
      <c r="M1020" s="14"/>
    </row>
    <row r="1021" spans="2:13" s="7" customFormat="1" ht="13.5">
      <c r="B1021" s="30"/>
      <c r="C1021" s="30"/>
      <c r="D1021" s="31"/>
      <c r="E1021" s="35"/>
      <c r="F1021" s="130"/>
      <c r="G1021" s="14"/>
      <c r="H1021" s="14"/>
      <c r="I1021" s="14"/>
      <c r="J1021" s="14"/>
      <c r="K1021" s="14"/>
      <c r="L1021" s="14"/>
      <c r="M1021" s="14"/>
    </row>
    <row r="1022" spans="2:13" s="7" customFormat="1" ht="13.5">
      <c r="B1022" s="30"/>
      <c r="C1022" s="30"/>
      <c r="D1022" s="31"/>
      <c r="E1022" s="35"/>
      <c r="F1022" s="130"/>
      <c r="G1022" s="14"/>
      <c r="H1022" s="14"/>
      <c r="I1022" s="14"/>
      <c r="J1022" s="14"/>
      <c r="K1022" s="14"/>
      <c r="L1022" s="14"/>
      <c r="M1022" s="14"/>
    </row>
    <row r="1023" spans="2:13" s="7" customFormat="1" ht="13.5">
      <c r="B1023" s="30"/>
      <c r="C1023" s="30"/>
      <c r="D1023" s="31"/>
      <c r="E1023" s="35"/>
      <c r="F1023" s="130"/>
      <c r="G1023" s="14"/>
      <c r="H1023" s="14"/>
      <c r="I1023" s="14"/>
      <c r="J1023" s="14"/>
      <c r="K1023" s="14"/>
      <c r="L1023" s="14"/>
      <c r="M1023" s="14"/>
    </row>
    <row r="1024" spans="2:13" s="7" customFormat="1" ht="13.5">
      <c r="B1024" s="30"/>
      <c r="C1024" s="30"/>
      <c r="D1024" s="31"/>
      <c r="E1024" s="35"/>
      <c r="F1024" s="130"/>
      <c r="G1024" s="14"/>
      <c r="H1024" s="14"/>
      <c r="I1024" s="14"/>
      <c r="J1024" s="14"/>
      <c r="K1024" s="14"/>
      <c r="L1024" s="14"/>
      <c r="M1024" s="14"/>
    </row>
    <row r="1025" spans="2:13" s="7" customFormat="1" ht="13.5">
      <c r="B1025" s="30"/>
      <c r="C1025" s="30"/>
      <c r="D1025" s="31"/>
      <c r="E1025" s="35"/>
      <c r="F1025" s="130"/>
      <c r="G1025" s="14"/>
      <c r="H1025" s="14"/>
      <c r="I1025" s="14"/>
      <c r="J1025" s="14"/>
      <c r="K1025" s="14"/>
      <c r="L1025" s="14"/>
      <c r="M1025" s="14"/>
    </row>
    <row r="1026" spans="2:13" s="7" customFormat="1" ht="13.5">
      <c r="B1026" s="30"/>
      <c r="C1026" s="30"/>
      <c r="D1026" s="31"/>
      <c r="E1026" s="35"/>
      <c r="F1026" s="130"/>
      <c r="G1026" s="14"/>
      <c r="H1026" s="14"/>
      <c r="I1026" s="14"/>
      <c r="J1026" s="14"/>
      <c r="K1026" s="14"/>
      <c r="L1026" s="14"/>
      <c r="M1026" s="14"/>
    </row>
    <row r="1027" spans="2:13" s="7" customFormat="1" ht="13.5">
      <c r="B1027" s="30"/>
      <c r="C1027" s="30"/>
      <c r="D1027" s="31"/>
      <c r="E1027" s="35"/>
      <c r="F1027" s="130"/>
      <c r="G1027" s="14"/>
      <c r="H1027" s="14"/>
      <c r="I1027" s="14"/>
      <c r="J1027" s="14"/>
      <c r="K1027" s="14"/>
      <c r="L1027" s="14"/>
      <c r="M1027" s="14"/>
    </row>
    <row r="1028" spans="2:13" s="7" customFormat="1" ht="13.5">
      <c r="B1028" s="30"/>
      <c r="C1028" s="30"/>
      <c r="D1028" s="31"/>
      <c r="E1028" s="35"/>
      <c r="F1028" s="130"/>
      <c r="G1028" s="14"/>
      <c r="H1028" s="14"/>
      <c r="I1028" s="14"/>
      <c r="J1028" s="14"/>
      <c r="K1028" s="14"/>
      <c r="L1028" s="14"/>
      <c r="M1028" s="14"/>
    </row>
    <row r="1029" spans="2:13" s="7" customFormat="1" ht="13.5">
      <c r="B1029" s="30"/>
      <c r="C1029" s="30"/>
      <c r="D1029" s="31"/>
      <c r="E1029" s="35"/>
      <c r="F1029" s="130"/>
      <c r="G1029" s="14"/>
      <c r="H1029" s="14"/>
      <c r="I1029" s="14"/>
      <c r="J1029" s="14"/>
      <c r="K1029" s="14"/>
      <c r="L1029" s="14"/>
      <c r="M1029" s="14"/>
    </row>
    <row r="1030" spans="2:13" s="7" customFormat="1" ht="13.5">
      <c r="B1030" s="30"/>
      <c r="C1030" s="30"/>
      <c r="D1030" s="31"/>
      <c r="E1030" s="35"/>
      <c r="F1030" s="130"/>
      <c r="G1030" s="14"/>
      <c r="H1030" s="14"/>
      <c r="I1030" s="14"/>
      <c r="J1030" s="14"/>
      <c r="K1030" s="14"/>
      <c r="L1030" s="14"/>
      <c r="M1030" s="14"/>
    </row>
    <row r="1031" spans="2:13" s="7" customFormat="1" ht="13.5">
      <c r="B1031" s="30"/>
      <c r="C1031" s="30"/>
      <c r="D1031" s="31"/>
      <c r="E1031" s="35"/>
      <c r="F1031" s="130"/>
      <c r="G1031" s="14"/>
      <c r="H1031" s="14"/>
      <c r="I1031" s="14"/>
      <c r="J1031" s="14"/>
      <c r="K1031" s="14"/>
      <c r="L1031" s="14"/>
      <c r="M1031" s="14"/>
    </row>
    <row r="1032" spans="2:13" s="7" customFormat="1" ht="13.5">
      <c r="B1032" s="30"/>
      <c r="C1032" s="30"/>
      <c r="D1032" s="31"/>
      <c r="E1032" s="35"/>
      <c r="F1032" s="130"/>
      <c r="G1032" s="14"/>
      <c r="H1032" s="14"/>
      <c r="I1032" s="14"/>
      <c r="J1032" s="14"/>
      <c r="K1032" s="14"/>
      <c r="L1032" s="14"/>
      <c r="M1032" s="14"/>
    </row>
    <row r="1033" spans="2:13" s="7" customFormat="1" ht="13.5">
      <c r="B1033" s="30"/>
      <c r="C1033" s="30"/>
      <c r="D1033" s="31"/>
      <c r="E1033" s="35"/>
      <c r="F1033" s="130"/>
      <c r="G1033" s="14"/>
      <c r="H1033" s="14"/>
      <c r="I1033" s="14"/>
      <c r="J1033" s="14"/>
      <c r="K1033" s="14"/>
      <c r="L1033" s="14"/>
      <c r="M1033" s="14"/>
    </row>
    <row r="1034" spans="2:13" s="7" customFormat="1" ht="13.5">
      <c r="B1034" s="30"/>
      <c r="C1034" s="30"/>
      <c r="D1034" s="31"/>
      <c r="E1034" s="35"/>
      <c r="F1034" s="130"/>
      <c r="G1034" s="14"/>
      <c r="H1034" s="14"/>
      <c r="I1034" s="14"/>
      <c r="J1034" s="14"/>
      <c r="K1034" s="14"/>
      <c r="L1034" s="14"/>
      <c r="M1034" s="14"/>
    </row>
    <row r="1035" spans="2:13" s="7" customFormat="1" ht="13.5">
      <c r="B1035" s="30"/>
      <c r="C1035" s="30"/>
      <c r="D1035" s="31"/>
      <c r="E1035" s="35"/>
      <c r="F1035" s="130"/>
      <c r="G1035" s="14"/>
      <c r="H1035" s="14"/>
      <c r="I1035" s="14"/>
      <c r="J1035" s="14"/>
      <c r="K1035" s="14"/>
      <c r="L1035" s="14"/>
      <c r="M1035" s="14"/>
    </row>
    <row r="1036" spans="2:13" s="7" customFormat="1" ht="13.5">
      <c r="B1036" s="30"/>
      <c r="C1036" s="30"/>
      <c r="D1036" s="31"/>
      <c r="E1036" s="35"/>
      <c r="F1036" s="130"/>
      <c r="G1036" s="14"/>
      <c r="H1036" s="14"/>
      <c r="I1036" s="14"/>
      <c r="J1036" s="14"/>
      <c r="K1036" s="14"/>
      <c r="L1036" s="14"/>
      <c r="M1036" s="14"/>
    </row>
    <row r="1037" spans="2:13" s="7" customFormat="1" ht="13.5">
      <c r="B1037" s="30"/>
      <c r="C1037" s="30"/>
      <c r="D1037" s="31"/>
      <c r="E1037" s="35"/>
      <c r="F1037" s="130"/>
      <c r="G1037" s="14"/>
      <c r="H1037" s="14"/>
      <c r="I1037" s="14"/>
      <c r="J1037" s="14"/>
      <c r="K1037" s="14"/>
      <c r="L1037" s="14"/>
      <c r="M1037" s="14"/>
    </row>
    <row r="1038" spans="2:13" s="7" customFormat="1" ht="13.5">
      <c r="B1038" s="30"/>
      <c r="C1038" s="30"/>
      <c r="D1038" s="31"/>
      <c r="E1038" s="35"/>
      <c r="F1038" s="130"/>
      <c r="G1038" s="14"/>
      <c r="H1038" s="14"/>
      <c r="I1038" s="14"/>
      <c r="J1038" s="14"/>
      <c r="K1038" s="14"/>
      <c r="L1038" s="14"/>
      <c r="M1038" s="14"/>
    </row>
    <row r="1039" spans="2:13" s="7" customFormat="1" ht="13.5">
      <c r="B1039" s="30"/>
      <c r="C1039" s="30"/>
      <c r="D1039" s="31"/>
      <c r="E1039" s="35"/>
      <c r="F1039" s="130"/>
      <c r="G1039" s="14"/>
      <c r="H1039" s="14"/>
      <c r="I1039" s="14"/>
      <c r="J1039" s="14"/>
      <c r="K1039" s="14"/>
      <c r="L1039" s="14"/>
      <c r="M1039" s="14"/>
    </row>
    <row r="1040" spans="2:13" s="7" customFormat="1" ht="13.5">
      <c r="B1040" s="30"/>
      <c r="C1040" s="30"/>
      <c r="D1040" s="31"/>
      <c r="E1040" s="35"/>
      <c r="F1040" s="130"/>
      <c r="G1040" s="14"/>
      <c r="H1040" s="14"/>
      <c r="I1040" s="14"/>
      <c r="J1040" s="14"/>
      <c r="K1040" s="14"/>
      <c r="L1040" s="14"/>
      <c r="M1040" s="14"/>
    </row>
    <row r="1041" spans="2:13" s="7" customFormat="1" ht="13.5">
      <c r="B1041" s="30"/>
      <c r="C1041" s="30"/>
      <c r="D1041" s="31"/>
      <c r="E1041" s="35"/>
      <c r="F1041" s="130"/>
      <c r="G1041" s="14"/>
      <c r="H1041" s="14"/>
      <c r="I1041" s="14"/>
      <c r="J1041" s="14"/>
      <c r="K1041" s="14"/>
      <c r="L1041" s="14"/>
      <c r="M1041" s="14"/>
    </row>
    <row r="1042" spans="2:13" s="7" customFormat="1" ht="13.5">
      <c r="B1042" s="30"/>
      <c r="C1042" s="30"/>
      <c r="D1042" s="31"/>
      <c r="E1042" s="35"/>
      <c r="F1042" s="130"/>
      <c r="G1042" s="14"/>
      <c r="H1042" s="14"/>
      <c r="I1042" s="14"/>
      <c r="J1042" s="14"/>
      <c r="K1042" s="14"/>
      <c r="L1042" s="14"/>
      <c r="M1042" s="14"/>
    </row>
    <row r="1043" spans="2:13" s="7" customFormat="1" ht="13.5">
      <c r="B1043" s="30"/>
      <c r="C1043" s="30"/>
      <c r="D1043" s="31"/>
      <c r="E1043" s="35"/>
      <c r="F1043" s="130"/>
      <c r="G1043" s="14"/>
      <c r="H1043" s="14"/>
      <c r="I1043" s="14"/>
      <c r="J1043" s="14"/>
      <c r="K1043" s="14"/>
      <c r="L1043" s="14"/>
      <c r="M1043" s="14"/>
    </row>
    <row r="1044" spans="2:13" s="7" customFormat="1" ht="13.5">
      <c r="B1044" s="30"/>
      <c r="C1044" s="30"/>
      <c r="D1044" s="31"/>
      <c r="E1044" s="35"/>
      <c r="F1044" s="130"/>
      <c r="G1044" s="14"/>
      <c r="H1044" s="14"/>
      <c r="I1044" s="14"/>
      <c r="J1044" s="14"/>
      <c r="K1044" s="14"/>
      <c r="L1044" s="14"/>
      <c r="M1044" s="14"/>
    </row>
    <row r="1045" spans="2:13" s="7" customFormat="1" ht="13.5">
      <c r="B1045" s="30"/>
      <c r="C1045" s="30"/>
      <c r="D1045" s="31"/>
      <c r="E1045" s="35"/>
      <c r="F1045" s="130"/>
      <c r="G1045" s="14"/>
      <c r="H1045" s="14"/>
      <c r="I1045" s="14"/>
      <c r="J1045" s="14"/>
      <c r="K1045" s="14"/>
      <c r="L1045" s="14"/>
      <c r="M1045" s="14"/>
    </row>
    <row r="1046" spans="2:13" s="7" customFormat="1" ht="13.5">
      <c r="B1046" s="30"/>
      <c r="C1046" s="30"/>
      <c r="D1046" s="31"/>
      <c r="E1046" s="35"/>
      <c r="F1046" s="130"/>
      <c r="G1046" s="14"/>
      <c r="H1046" s="14"/>
      <c r="I1046" s="14"/>
      <c r="J1046" s="14"/>
      <c r="K1046" s="14"/>
      <c r="L1046" s="14"/>
      <c r="M1046" s="14"/>
    </row>
    <row r="1047" spans="2:13" s="7" customFormat="1" ht="13.5">
      <c r="B1047" s="30"/>
      <c r="C1047" s="30"/>
      <c r="D1047" s="31"/>
      <c r="E1047" s="35"/>
      <c r="F1047" s="130"/>
      <c r="G1047" s="14"/>
      <c r="H1047" s="14"/>
      <c r="I1047" s="14"/>
      <c r="J1047" s="14"/>
      <c r="K1047" s="14"/>
      <c r="L1047" s="14"/>
      <c r="M1047" s="14"/>
    </row>
    <row r="1048" spans="2:13" s="7" customFormat="1" ht="13.5">
      <c r="B1048" s="30"/>
      <c r="C1048" s="30"/>
      <c r="D1048" s="31"/>
      <c r="E1048" s="35"/>
      <c r="F1048" s="130"/>
      <c r="G1048" s="14"/>
      <c r="H1048" s="14"/>
      <c r="I1048" s="14"/>
      <c r="J1048" s="14"/>
      <c r="K1048" s="14"/>
      <c r="L1048" s="14"/>
      <c r="M1048" s="14"/>
    </row>
    <row r="1049" spans="2:13" s="7" customFormat="1" ht="13.5">
      <c r="B1049" s="30"/>
      <c r="C1049" s="30"/>
      <c r="D1049" s="31"/>
      <c r="E1049" s="35"/>
      <c r="F1049" s="130"/>
      <c r="G1049" s="14"/>
      <c r="H1049" s="14"/>
      <c r="I1049" s="14"/>
      <c r="J1049" s="14"/>
      <c r="K1049" s="14"/>
      <c r="L1049" s="14"/>
      <c r="M1049" s="14"/>
    </row>
    <row r="1050" spans="2:13" s="7" customFormat="1" ht="13.5">
      <c r="B1050" s="30"/>
      <c r="C1050" s="30"/>
      <c r="D1050" s="31"/>
      <c r="E1050" s="35"/>
      <c r="F1050" s="130"/>
      <c r="G1050" s="14"/>
      <c r="H1050" s="14"/>
      <c r="I1050" s="14"/>
      <c r="J1050" s="14"/>
      <c r="K1050" s="14"/>
      <c r="L1050" s="14"/>
      <c r="M1050" s="14"/>
    </row>
    <row r="1051" spans="2:13" s="7" customFormat="1" ht="13.5">
      <c r="B1051" s="30"/>
      <c r="C1051" s="30"/>
      <c r="D1051" s="31"/>
      <c r="E1051" s="35"/>
      <c r="F1051" s="130"/>
      <c r="G1051" s="14"/>
      <c r="H1051" s="14"/>
      <c r="I1051" s="14"/>
      <c r="J1051" s="14"/>
      <c r="K1051" s="14"/>
      <c r="L1051" s="14"/>
      <c r="M1051" s="14"/>
    </row>
    <row r="1052" spans="2:13" s="7" customFormat="1" ht="13.5">
      <c r="B1052" s="30"/>
      <c r="C1052" s="30"/>
      <c r="D1052" s="31"/>
      <c r="E1052" s="35"/>
      <c r="F1052" s="130"/>
      <c r="G1052" s="14"/>
      <c r="H1052" s="14"/>
      <c r="I1052" s="14"/>
      <c r="J1052" s="14"/>
      <c r="K1052" s="14"/>
      <c r="L1052" s="14"/>
      <c r="M1052" s="14"/>
    </row>
    <row r="1053" spans="2:13" s="7" customFormat="1" ht="13.5">
      <c r="B1053" s="30"/>
      <c r="C1053" s="30"/>
      <c r="D1053" s="31"/>
      <c r="E1053" s="35"/>
      <c r="F1053" s="130"/>
      <c r="G1053" s="14"/>
      <c r="H1053" s="14"/>
      <c r="I1053" s="14"/>
      <c r="J1053" s="14"/>
      <c r="K1053" s="14"/>
      <c r="L1053" s="14"/>
      <c r="M1053" s="14"/>
    </row>
    <row r="1054" spans="2:13" s="7" customFormat="1" ht="13.5">
      <c r="B1054" s="30"/>
      <c r="C1054" s="30"/>
      <c r="D1054" s="31"/>
      <c r="E1054" s="35"/>
      <c r="F1054" s="130"/>
      <c r="G1054" s="14"/>
      <c r="H1054" s="14"/>
      <c r="I1054" s="14"/>
      <c r="J1054" s="14"/>
      <c r="K1054" s="14"/>
      <c r="L1054" s="14"/>
      <c r="M1054" s="14"/>
    </row>
    <row r="1055" spans="2:13" s="7" customFormat="1" ht="13.5">
      <c r="B1055" s="30"/>
      <c r="C1055" s="30"/>
      <c r="D1055" s="31"/>
      <c r="E1055" s="35"/>
      <c r="F1055" s="130"/>
      <c r="G1055" s="14"/>
      <c r="H1055" s="14"/>
      <c r="I1055" s="14"/>
      <c r="J1055" s="14"/>
      <c r="K1055" s="14"/>
      <c r="L1055" s="14"/>
      <c r="M1055" s="14"/>
    </row>
    <row r="1056" spans="2:13" s="7" customFormat="1" ht="13.5">
      <c r="B1056" s="30"/>
      <c r="C1056" s="30"/>
      <c r="D1056" s="31"/>
      <c r="E1056" s="35"/>
      <c r="F1056" s="130"/>
      <c r="G1056" s="14"/>
      <c r="H1056" s="14"/>
      <c r="I1056" s="14"/>
      <c r="J1056" s="14"/>
      <c r="K1056" s="14"/>
      <c r="L1056" s="14"/>
      <c r="M1056" s="14"/>
    </row>
    <row r="1057" spans="2:13" s="7" customFormat="1" ht="13.5">
      <c r="B1057" s="30"/>
      <c r="C1057" s="30"/>
      <c r="D1057" s="31"/>
      <c r="E1057" s="35"/>
      <c r="F1057" s="130"/>
      <c r="G1057" s="14"/>
      <c r="H1057" s="14"/>
      <c r="I1057" s="14"/>
      <c r="J1057" s="14"/>
      <c r="K1057" s="14"/>
      <c r="L1057" s="14"/>
      <c r="M1057" s="14"/>
    </row>
    <row r="1058" spans="2:13" s="7" customFormat="1" ht="13.5">
      <c r="B1058" s="30"/>
      <c r="C1058" s="30"/>
      <c r="D1058" s="31"/>
      <c r="E1058" s="35"/>
      <c r="F1058" s="130"/>
      <c r="G1058" s="14"/>
      <c r="H1058" s="14"/>
      <c r="I1058" s="14"/>
      <c r="J1058" s="14"/>
      <c r="K1058" s="14"/>
      <c r="L1058" s="14"/>
      <c r="M1058" s="14"/>
    </row>
    <row r="1059" spans="2:13" s="7" customFormat="1" ht="13.5">
      <c r="B1059" s="30"/>
      <c r="C1059" s="30"/>
      <c r="D1059" s="31"/>
      <c r="E1059" s="35"/>
      <c r="F1059" s="130"/>
      <c r="G1059" s="14"/>
      <c r="H1059" s="14"/>
      <c r="I1059" s="14"/>
      <c r="J1059" s="14"/>
      <c r="K1059" s="14"/>
      <c r="L1059" s="14"/>
      <c r="M1059" s="14"/>
    </row>
    <row r="1060" spans="2:13" s="7" customFormat="1" ht="13.5">
      <c r="B1060" s="30"/>
      <c r="C1060" s="30"/>
      <c r="D1060" s="31"/>
      <c r="E1060" s="35"/>
      <c r="F1060" s="130"/>
      <c r="G1060" s="14"/>
      <c r="H1060" s="14"/>
      <c r="I1060" s="14"/>
      <c r="J1060" s="14"/>
      <c r="K1060" s="14"/>
      <c r="L1060" s="14"/>
      <c r="M1060" s="14"/>
    </row>
    <row r="1061" spans="2:13" s="7" customFormat="1" ht="13.5">
      <c r="B1061" s="30"/>
      <c r="C1061" s="30"/>
      <c r="D1061" s="31"/>
      <c r="E1061" s="35"/>
      <c r="F1061" s="130"/>
      <c r="G1061" s="14"/>
      <c r="H1061" s="14"/>
      <c r="I1061" s="14"/>
      <c r="J1061" s="14"/>
      <c r="K1061" s="14"/>
      <c r="L1061" s="14"/>
      <c r="M1061" s="14"/>
    </row>
    <row r="1062" spans="2:13" s="7" customFormat="1" ht="13.5">
      <c r="B1062" s="30"/>
      <c r="C1062" s="30"/>
      <c r="D1062" s="31"/>
      <c r="E1062" s="35"/>
      <c r="F1062" s="130"/>
      <c r="G1062" s="14"/>
      <c r="H1062" s="14"/>
      <c r="I1062" s="14"/>
      <c r="J1062" s="14"/>
      <c r="K1062" s="14"/>
      <c r="L1062" s="14"/>
      <c r="M1062" s="14"/>
    </row>
    <row r="1063" spans="2:13" s="7" customFormat="1" ht="13.5">
      <c r="B1063" s="30"/>
      <c r="C1063" s="30"/>
      <c r="D1063" s="31"/>
      <c r="E1063" s="35"/>
      <c r="F1063" s="130"/>
      <c r="G1063" s="14"/>
      <c r="H1063" s="14"/>
      <c r="I1063" s="14"/>
      <c r="J1063" s="14"/>
      <c r="K1063" s="14"/>
      <c r="L1063" s="14"/>
      <c r="M1063" s="14"/>
    </row>
    <row r="1064" spans="2:13" s="7" customFormat="1" ht="13.5">
      <c r="B1064" s="30"/>
      <c r="C1064" s="30"/>
      <c r="D1064" s="31"/>
      <c r="E1064" s="35"/>
      <c r="F1064" s="130"/>
      <c r="G1064" s="14"/>
      <c r="H1064" s="14"/>
      <c r="I1064" s="14"/>
      <c r="J1064" s="14"/>
      <c r="K1064" s="14"/>
      <c r="L1064" s="14"/>
      <c r="M1064" s="14"/>
    </row>
    <row r="1065" spans="2:13" s="7" customFormat="1" ht="13.5">
      <c r="B1065" s="30"/>
      <c r="C1065" s="30"/>
      <c r="D1065" s="31"/>
      <c r="E1065" s="35"/>
      <c r="F1065" s="130"/>
      <c r="G1065" s="14"/>
      <c r="H1065" s="14"/>
      <c r="I1065" s="14"/>
      <c r="J1065" s="14"/>
      <c r="K1065" s="14"/>
      <c r="L1065" s="14"/>
      <c r="M1065" s="14"/>
    </row>
    <row r="1066" spans="2:13" s="7" customFormat="1" ht="13.5">
      <c r="B1066" s="30"/>
      <c r="C1066" s="30"/>
      <c r="D1066" s="31"/>
      <c r="E1066" s="35"/>
      <c r="F1066" s="130"/>
      <c r="G1066" s="14"/>
      <c r="H1066" s="14"/>
      <c r="I1066" s="14"/>
      <c r="J1066" s="14"/>
      <c r="K1066" s="14"/>
      <c r="L1066" s="14"/>
      <c r="M1066" s="14"/>
    </row>
    <row r="1067" spans="2:13" s="7" customFormat="1" ht="13.5">
      <c r="B1067" s="30"/>
      <c r="C1067" s="30"/>
      <c r="D1067" s="31"/>
      <c r="E1067" s="35"/>
      <c r="F1067" s="130"/>
      <c r="G1067" s="14"/>
      <c r="H1067" s="14"/>
      <c r="I1067" s="14"/>
      <c r="J1067" s="14"/>
      <c r="K1067" s="14"/>
      <c r="L1067" s="14"/>
      <c r="M1067" s="14"/>
    </row>
    <row r="1068" spans="2:13" s="7" customFormat="1" ht="13.5">
      <c r="B1068" s="30"/>
      <c r="C1068" s="30"/>
      <c r="D1068" s="31"/>
      <c r="E1068" s="35"/>
      <c r="F1068" s="130"/>
      <c r="G1068" s="14"/>
      <c r="H1068" s="14"/>
      <c r="I1068" s="14"/>
      <c r="J1068" s="14"/>
      <c r="K1068" s="14"/>
      <c r="L1068" s="14"/>
      <c r="M1068" s="14"/>
    </row>
    <row r="1069" spans="2:13" s="7" customFormat="1" ht="13.5">
      <c r="B1069" s="30"/>
      <c r="C1069" s="30"/>
      <c r="D1069" s="31"/>
      <c r="E1069" s="35"/>
      <c r="F1069" s="130"/>
      <c r="G1069" s="14"/>
      <c r="H1069" s="14"/>
      <c r="I1069" s="14"/>
      <c r="J1069" s="14"/>
      <c r="K1069" s="14"/>
      <c r="L1069" s="14"/>
      <c r="M1069" s="14"/>
    </row>
    <row r="1070" spans="2:13" s="7" customFormat="1" ht="13.5">
      <c r="B1070" s="30"/>
      <c r="C1070" s="30"/>
      <c r="D1070" s="31"/>
      <c r="E1070" s="35"/>
      <c r="F1070" s="130"/>
      <c r="G1070" s="14"/>
      <c r="H1070" s="14"/>
      <c r="I1070" s="14"/>
      <c r="J1070" s="14"/>
      <c r="K1070" s="14"/>
      <c r="L1070" s="14"/>
      <c r="M1070" s="14"/>
    </row>
    <row r="1071" spans="2:13" s="7" customFormat="1" ht="13.5">
      <c r="B1071" s="30"/>
      <c r="C1071" s="30"/>
      <c r="D1071" s="31"/>
      <c r="E1071" s="35"/>
      <c r="F1071" s="130"/>
      <c r="G1071" s="14"/>
      <c r="H1071" s="14"/>
      <c r="I1071" s="14"/>
      <c r="J1071" s="14"/>
      <c r="K1071" s="14"/>
      <c r="L1071" s="14"/>
      <c r="M1071" s="14"/>
    </row>
    <row r="1072" spans="2:13" s="7" customFormat="1" ht="13.5">
      <c r="B1072" s="30"/>
      <c r="C1072" s="30"/>
      <c r="D1072" s="31"/>
      <c r="E1072" s="35"/>
      <c r="F1072" s="130"/>
      <c r="G1072" s="14"/>
      <c r="H1072" s="14"/>
      <c r="I1072" s="14"/>
      <c r="J1072" s="14"/>
      <c r="K1072" s="14"/>
      <c r="L1072" s="14"/>
      <c r="M1072" s="14"/>
    </row>
    <row r="1073" spans="2:13" s="7" customFormat="1" ht="13.5">
      <c r="B1073" s="30"/>
      <c r="C1073" s="30"/>
      <c r="D1073" s="31"/>
      <c r="E1073" s="35"/>
      <c r="F1073" s="130"/>
      <c r="G1073" s="14"/>
      <c r="H1073" s="14"/>
      <c r="I1073" s="14"/>
      <c r="J1073" s="14"/>
      <c r="K1073" s="14"/>
      <c r="L1073" s="14"/>
      <c r="M1073" s="14"/>
    </row>
    <row r="1074" spans="2:13" s="7" customFormat="1" ht="13.5">
      <c r="B1074" s="30"/>
      <c r="C1074" s="30"/>
      <c r="D1074" s="31"/>
      <c r="E1074" s="35"/>
      <c r="F1074" s="130"/>
      <c r="G1074" s="14"/>
      <c r="H1074" s="14"/>
      <c r="I1074" s="14"/>
      <c r="J1074" s="14"/>
      <c r="K1074" s="14"/>
      <c r="L1074" s="14"/>
      <c r="M1074" s="14"/>
    </row>
    <row r="1075" spans="2:13" s="7" customFormat="1" ht="13.5">
      <c r="B1075" s="30"/>
      <c r="C1075" s="30"/>
      <c r="D1075" s="31"/>
      <c r="E1075" s="35"/>
      <c r="F1075" s="130"/>
      <c r="G1075" s="14"/>
      <c r="H1075" s="14"/>
      <c r="I1075" s="14"/>
      <c r="J1075" s="14"/>
      <c r="K1075" s="14"/>
      <c r="L1075" s="14"/>
      <c r="M1075" s="14"/>
    </row>
    <row r="1076" spans="2:13" s="7" customFormat="1" ht="13.5">
      <c r="B1076" s="30"/>
      <c r="C1076" s="30"/>
      <c r="D1076" s="31"/>
      <c r="E1076" s="35"/>
      <c r="F1076" s="130"/>
      <c r="G1076" s="14"/>
      <c r="H1076" s="14"/>
      <c r="I1076" s="14"/>
      <c r="J1076" s="14"/>
      <c r="K1076" s="14"/>
      <c r="L1076" s="14"/>
      <c r="M1076" s="14"/>
    </row>
    <row r="1077" spans="2:13" s="7" customFormat="1" ht="13.5">
      <c r="B1077" s="30"/>
      <c r="C1077" s="30"/>
      <c r="D1077" s="31"/>
      <c r="E1077" s="35"/>
      <c r="F1077" s="130"/>
      <c r="G1077" s="14"/>
      <c r="H1077" s="14"/>
      <c r="I1077" s="14"/>
      <c r="J1077" s="14"/>
      <c r="K1077" s="14"/>
      <c r="L1077" s="14"/>
      <c r="M1077" s="14"/>
    </row>
    <row r="1078" spans="2:13" s="7" customFormat="1" ht="13.5">
      <c r="B1078" s="30"/>
      <c r="C1078" s="30"/>
      <c r="D1078" s="31"/>
      <c r="E1078" s="35"/>
      <c r="F1078" s="130"/>
      <c r="G1078" s="14"/>
      <c r="H1078" s="14"/>
      <c r="I1078" s="14"/>
      <c r="J1078" s="14"/>
      <c r="K1078" s="14"/>
      <c r="L1078" s="14"/>
      <c r="M1078" s="14"/>
    </row>
    <row r="1079" spans="2:13" s="7" customFormat="1" ht="13.5">
      <c r="B1079" s="30"/>
      <c r="C1079" s="30"/>
      <c r="D1079" s="31"/>
      <c r="E1079" s="35"/>
      <c r="F1079" s="130"/>
      <c r="G1079" s="14"/>
      <c r="H1079" s="14"/>
      <c r="I1079" s="14"/>
      <c r="J1079" s="14"/>
      <c r="K1079" s="14"/>
      <c r="L1079" s="14"/>
      <c r="M1079" s="14"/>
    </row>
    <row r="1080" spans="2:13" s="7" customFormat="1" ht="13.5">
      <c r="B1080" s="30"/>
      <c r="C1080" s="30"/>
      <c r="D1080" s="31"/>
      <c r="E1080" s="35"/>
      <c r="F1080" s="130"/>
      <c r="G1080" s="14"/>
      <c r="H1080" s="14"/>
      <c r="I1080" s="14"/>
      <c r="J1080" s="14"/>
      <c r="K1080" s="14"/>
      <c r="L1080" s="14"/>
      <c r="M1080" s="14"/>
    </row>
    <row r="1081" spans="2:13" s="7" customFormat="1" ht="13.5">
      <c r="B1081" s="30"/>
      <c r="C1081" s="30"/>
      <c r="D1081" s="31"/>
      <c r="E1081" s="35"/>
      <c r="F1081" s="130"/>
      <c r="G1081" s="14"/>
      <c r="H1081" s="14"/>
      <c r="I1081" s="14"/>
      <c r="J1081" s="14"/>
      <c r="K1081" s="14"/>
      <c r="L1081" s="14"/>
      <c r="M1081" s="14"/>
    </row>
    <row r="1082" spans="2:13" s="7" customFormat="1" ht="13.5">
      <c r="B1082" s="30"/>
      <c r="C1082" s="30"/>
      <c r="D1082" s="31"/>
      <c r="E1082" s="35"/>
      <c r="F1082" s="130"/>
      <c r="G1082" s="14"/>
      <c r="H1082" s="14"/>
      <c r="I1082" s="14"/>
      <c r="J1082" s="14"/>
      <c r="K1082" s="14"/>
      <c r="L1082" s="14"/>
      <c r="M1082" s="14"/>
    </row>
    <row r="1083" spans="2:13" s="7" customFormat="1" ht="13.5">
      <c r="B1083" s="30"/>
      <c r="C1083" s="30"/>
      <c r="D1083" s="31"/>
      <c r="E1083" s="35"/>
      <c r="F1083" s="130"/>
      <c r="G1083" s="14"/>
      <c r="H1083" s="14"/>
      <c r="I1083" s="14"/>
      <c r="J1083" s="14"/>
      <c r="K1083" s="14"/>
      <c r="L1083" s="14"/>
      <c r="M1083" s="14"/>
    </row>
    <row r="1084" spans="2:13" s="7" customFormat="1" ht="13.5">
      <c r="B1084" s="30"/>
      <c r="C1084" s="30"/>
      <c r="D1084" s="31"/>
      <c r="E1084" s="35"/>
      <c r="F1084" s="130"/>
      <c r="G1084" s="14"/>
      <c r="H1084" s="14"/>
      <c r="I1084" s="14"/>
      <c r="J1084" s="14"/>
      <c r="K1084" s="14"/>
      <c r="L1084" s="14"/>
      <c r="M1084" s="14"/>
    </row>
    <row r="1085" spans="2:13" s="7" customFormat="1" ht="13.5">
      <c r="B1085" s="30"/>
      <c r="C1085" s="30"/>
      <c r="D1085" s="31"/>
      <c r="E1085" s="35"/>
      <c r="F1085" s="130"/>
      <c r="G1085" s="14"/>
      <c r="H1085" s="14"/>
      <c r="I1085" s="14"/>
      <c r="J1085" s="14"/>
      <c r="K1085" s="14"/>
      <c r="L1085" s="14"/>
      <c r="M1085" s="14"/>
    </row>
    <row r="1086" spans="2:13" s="7" customFormat="1" ht="13.5">
      <c r="B1086" s="30"/>
      <c r="C1086" s="30"/>
      <c r="D1086" s="31"/>
      <c r="E1086" s="35"/>
      <c r="F1086" s="130"/>
      <c r="G1086" s="14"/>
      <c r="H1086" s="14"/>
      <c r="I1086" s="14"/>
      <c r="J1086" s="14"/>
      <c r="K1086" s="14"/>
      <c r="L1086" s="14"/>
      <c r="M1086" s="14"/>
    </row>
    <row r="1087" spans="2:13" s="7" customFormat="1" ht="13.5">
      <c r="B1087" s="30"/>
      <c r="C1087" s="30"/>
      <c r="D1087" s="31"/>
      <c r="E1087" s="35"/>
      <c r="F1087" s="130"/>
      <c r="G1087" s="14"/>
      <c r="H1087" s="14"/>
      <c r="I1087" s="14"/>
      <c r="J1087" s="14"/>
      <c r="K1087" s="14"/>
      <c r="L1087" s="14"/>
      <c r="M1087" s="14"/>
    </row>
    <row r="1088" spans="2:13" s="7" customFormat="1" ht="13.5">
      <c r="B1088" s="30"/>
      <c r="C1088" s="30"/>
      <c r="D1088" s="31"/>
      <c r="E1088" s="35"/>
      <c r="F1088" s="130"/>
      <c r="G1088" s="14"/>
      <c r="H1088" s="14"/>
      <c r="I1088" s="14"/>
      <c r="J1088" s="14"/>
      <c r="K1088" s="14"/>
      <c r="L1088" s="14"/>
      <c r="M1088" s="14"/>
    </row>
    <row r="1089" spans="2:13" s="7" customFormat="1" ht="13.5">
      <c r="B1089" s="30"/>
      <c r="C1089" s="30"/>
      <c r="D1089" s="31"/>
      <c r="E1089" s="35"/>
      <c r="F1089" s="130"/>
      <c r="G1089" s="14"/>
      <c r="H1089" s="14"/>
      <c r="I1089" s="14"/>
      <c r="J1089" s="14"/>
      <c r="K1089" s="14"/>
      <c r="L1089" s="14"/>
      <c r="M1089" s="14"/>
    </row>
    <row r="1090" spans="2:13" s="7" customFormat="1" ht="13.5">
      <c r="B1090" s="30"/>
      <c r="C1090" s="30"/>
      <c r="D1090" s="31"/>
      <c r="E1090" s="35"/>
      <c r="F1090" s="130"/>
      <c r="G1090" s="14"/>
      <c r="H1090" s="14"/>
      <c r="I1090" s="14"/>
      <c r="J1090" s="14"/>
      <c r="K1090" s="14"/>
      <c r="L1090" s="14"/>
      <c r="M1090" s="14"/>
    </row>
    <row r="1091" spans="2:13" s="7" customFormat="1" ht="13.5">
      <c r="B1091" s="30"/>
      <c r="C1091" s="30"/>
      <c r="D1091" s="31"/>
      <c r="E1091" s="35"/>
      <c r="F1091" s="130"/>
      <c r="G1091" s="14"/>
      <c r="H1091" s="14"/>
      <c r="I1091" s="14"/>
      <c r="J1091" s="14"/>
      <c r="K1091" s="14"/>
      <c r="L1091" s="14"/>
      <c r="M1091" s="14"/>
    </row>
    <row r="1092" spans="2:13" s="7" customFormat="1" ht="13.5">
      <c r="B1092" s="30"/>
      <c r="C1092" s="30"/>
      <c r="D1092" s="31"/>
      <c r="E1092" s="35"/>
      <c r="F1092" s="130"/>
      <c r="G1092" s="14"/>
      <c r="H1092" s="14"/>
      <c r="I1092" s="14"/>
      <c r="J1092" s="14"/>
      <c r="K1092" s="14"/>
      <c r="L1092" s="14"/>
      <c r="M1092" s="14"/>
    </row>
    <row r="1093" spans="2:13" s="7" customFormat="1" ht="13.5">
      <c r="B1093" s="30"/>
      <c r="C1093" s="30"/>
      <c r="D1093" s="31"/>
      <c r="E1093" s="35"/>
      <c r="F1093" s="130"/>
      <c r="G1093" s="14"/>
      <c r="H1093" s="14"/>
      <c r="I1093" s="14"/>
      <c r="J1093" s="14"/>
      <c r="K1093" s="14"/>
      <c r="L1093" s="14"/>
      <c r="M1093" s="14"/>
    </row>
    <row r="1094" spans="2:13" s="7" customFormat="1" ht="13.5">
      <c r="B1094" s="30"/>
      <c r="C1094" s="30"/>
      <c r="D1094" s="31"/>
      <c r="E1094" s="35"/>
      <c r="F1094" s="130"/>
      <c r="G1094" s="14"/>
      <c r="H1094" s="14"/>
      <c r="I1094" s="14"/>
      <c r="J1094" s="14"/>
      <c r="K1094" s="14"/>
      <c r="L1094" s="14"/>
      <c r="M1094" s="14"/>
    </row>
    <row r="1095" spans="2:13" s="7" customFormat="1" ht="13.5">
      <c r="B1095" s="30"/>
      <c r="C1095" s="30"/>
      <c r="D1095" s="31"/>
      <c r="E1095" s="35"/>
      <c r="F1095" s="130"/>
      <c r="G1095" s="14"/>
      <c r="H1095" s="14"/>
      <c r="I1095" s="14"/>
      <c r="J1095" s="14"/>
      <c r="K1095" s="14"/>
      <c r="L1095" s="14"/>
      <c r="M1095" s="14"/>
    </row>
    <row r="1096" spans="2:13" s="7" customFormat="1" ht="13.5">
      <c r="B1096" s="30"/>
      <c r="C1096" s="30"/>
      <c r="D1096" s="31"/>
      <c r="E1096" s="35"/>
      <c r="F1096" s="130"/>
      <c r="G1096" s="14"/>
      <c r="H1096" s="14"/>
      <c r="I1096" s="14"/>
      <c r="J1096" s="14"/>
      <c r="K1096" s="14"/>
      <c r="L1096" s="14"/>
      <c r="M1096" s="14"/>
    </row>
    <row r="1097" spans="2:13" s="7" customFormat="1" ht="13.5">
      <c r="B1097" s="30"/>
      <c r="C1097" s="30"/>
      <c r="D1097" s="31"/>
      <c r="E1097" s="35"/>
      <c r="F1097" s="130"/>
      <c r="G1097" s="14"/>
      <c r="H1097" s="14"/>
      <c r="I1097" s="14"/>
      <c r="J1097" s="14"/>
      <c r="K1097" s="14"/>
      <c r="L1097" s="14"/>
      <c r="M1097" s="14"/>
    </row>
    <row r="1098" spans="2:13" s="7" customFormat="1" ht="13.5">
      <c r="B1098" s="30"/>
      <c r="C1098" s="30"/>
      <c r="D1098" s="31"/>
      <c r="E1098" s="35"/>
      <c r="F1098" s="130"/>
      <c r="G1098" s="14"/>
      <c r="H1098" s="14"/>
      <c r="I1098" s="14"/>
      <c r="J1098" s="14"/>
      <c r="K1098" s="14"/>
      <c r="L1098" s="14"/>
      <c r="M1098" s="14"/>
    </row>
    <row r="1099" spans="2:13" s="7" customFormat="1" ht="13.5">
      <c r="B1099" s="30"/>
      <c r="C1099" s="30"/>
      <c r="D1099" s="31"/>
      <c r="E1099" s="35"/>
      <c r="F1099" s="130"/>
      <c r="G1099" s="14"/>
      <c r="H1099" s="14"/>
      <c r="I1099" s="14"/>
      <c r="J1099" s="14"/>
      <c r="K1099" s="14"/>
      <c r="L1099" s="14"/>
      <c r="M1099" s="14"/>
    </row>
    <row r="1100" spans="2:13" s="7" customFormat="1" ht="13.5">
      <c r="B1100" s="30"/>
      <c r="C1100" s="30"/>
      <c r="D1100" s="31"/>
      <c r="E1100" s="35"/>
      <c r="F1100" s="130"/>
      <c r="G1100" s="14"/>
      <c r="H1100" s="14"/>
      <c r="I1100" s="14"/>
      <c r="J1100" s="14"/>
      <c r="K1100" s="14"/>
      <c r="L1100" s="14"/>
      <c r="M1100" s="14"/>
    </row>
    <row r="1101" spans="2:13" s="7" customFormat="1" ht="13.5">
      <c r="B1101" s="30"/>
      <c r="C1101" s="30"/>
      <c r="D1101" s="31"/>
      <c r="E1101" s="35"/>
      <c r="F1101" s="130"/>
      <c r="G1101" s="14"/>
      <c r="H1101" s="14"/>
      <c r="I1101" s="14"/>
      <c r="J1101" s="14"/>
      <c r="K1101" s="14"/>
      <c r="L1101" s="14"/>
      <c r="M1101" s="14"/>
    </row>
    <row r="1102" spans="2:13" s="7" customFormat="1" ht="13.5">
      <c r="B1102" s="30"/>
      <c r="C1102" s="30"/>
      <c r="D1102" s="31"/>
      <c r="E1102" s="35"/>
      <c r="F1102" s="130"/>
      <c r="G1102" s="14"/>
      <c r="H1102" s="14"/>
      <c r="I1102" s="14"/>
      <c r="J1102" s="14"/>
      <c r="K1102" s="14"/>
      <c r="L1102" s="14"/>
      <c r="M1102" s="14"/>
    </row>
    <row r="1103" spans="2:13" s="7" customFormat="1" ht="13.5">
      <c r="B1103" s="30"/>
      <c r="C1103" s="30"/>
      <c r="D1103" s="31"/>
      <c r="E1103" s="35"/>
      <c r="F1103" s="130"/>
      <c r="G1103" s="14"/>
      <c r="H1103" s="14"/>
      <c r="I1103" s="14"/>
      <c r="J1103" s="14"/>
      <c r="K1103" s="14"/>
      <c r="L1103" s="14"/>
      <c r="M1103" s="14"/>
    </row>
    <row r="1104" spans="2:13" s="7" customFormat="1" ht="13.5">
      <c r="B1104" s="30"/>
      <c r="C1104" s="30"/>
      <c r="D1104" s="31"/>
      <c r="E1104" s="35"/>
      <c r="F1104" s="130"/>
      <c r="G1104" s="14"/>
      <c r="H1104" s="14"/>
      <c r="I1104" s="14"/>
      <c r="J1104" s="14"/>
      <c r="K1104" s="14"/>
      <c r="L1104" s="14"/>
      <c r="M1104" s="14"/>
    </row>
    <row r="1105" spans="2:13" s="7" customFormat="1" ht="13.5">
      <c r="B1105" s="30"/>
      <c r="C1105" s="30"/>
      <c r="D1105" s="31"/>
      <c r="E1105" s="35"/>
      <c r="F1105" s="130"/>
      <c r="G1105" s="14"/>
      <c r="H1105" s="14"/>
      <c r="I1105" s="14"/>
      <c r="J1105" s="14"/>
      <c r="K1105" s="14"/>
      <c r="L1105" s="14"/>
      <c r="M1105" s="14"/>
    </row>
    <row r="1106" spans="2:13" s="7" customFormat="1" ht="13.5">
      <c r="B1106" s="30"/>
      <c r="C1106" s="30"/>
      <c r="D1106" s="31"/>
      <c r="E1106" s="35"/>
      <c r="F1106" s="130"/>
      <c r="G1106" s="14"/>
      <c r="H1106" s="14"/>
      <c r="I1106" s="14"/>
      <c r="J1106" s="14"/>
      <c r="K1106" s="14"/>
      <c r="L1106" s="14"/>
      <c r="M1106" s="14"/>
    </row>
    <row r="1107" spans="2:13" s="7" customFormat="1" ht="13.5">
      <c r="B1107" s="30"/>
      <c r="C1107" s="30"/>
      <c r="D1107" s="31"/>
      <c r="E1107" s="35"/>
      <c r="F1107" s="130"/>
      <c r="G1107" s="14"/>
      <c r="H1107" s="14"/>
      <c r="I1107" s="14"/>
      <c r="J1107" s="14"/>
      <c r="K1107" s="14"/>
      <c r="L1107" s="14"/>
      <c r="M1107" s="14"/>
    </row>
    <row r="1108" spans="2:13" s="7" customFormat="1" ht="13.5">
      <c r="B1108" s="30"/>
      <c r="C1108" s="30"/>
      <c r="D1108" s="31"/>
      <c r="E1108" s="35"/>
      <c r="F1108" s="130"/>
      <c r="G1108" s="14"/>
      <c r="H1108" s="14"/>
      <c r="I1108" s="14"/>
      <c r="J1108" s="14"/>
      <c r="K1108" s="14"/>
      <c r="L1108" s="14"/>
      <c r="M1108" s="14"/>
    </row>
    <row r="1109" spans="2:13" s="7" customFormat="1" ht="13.5">
      <c r="B1109" s="30"/>
      <c r="C1109" s="30"/>
      <c r="D1109" s="31"/>
      <c r="E1109" s="35"/>
      <c r="F1109" s="130"/>
      <c r="G1109" s="14"/>
      <c r="H1109" s="14"/>
      <c r="I1109" s="14"/>
      <c r="J1109" s="14"/>
      <c r="K1109" s="14"/>
      <c r="L1109" s="14"/>
      <c r="M1109" s="14"/>
    </row>
    <row r="1110" spans="2:13" s="7" customFormat="1" ht="13.5">
      <c r="B1110" s="30"/>
      <c r="C1110" s="30"/>
      <c r="D1110" s="31"/>
      <c r="E1110" s="35"/>
      <c r="F1110" s="130"/>
      <c r="G1110" s="14"/>
      <c r="H1110" s="14"/>
      <c r="I1110" s="14"/>
      <c r="J1110" s="14"/>
      <c r="K1110" s="14"/>
      <c r="L1110" s="14"/>
      <c r="M1110" s="14"/>
    </row>
    <row r="1111" spans="2:13" s="7" customFormat="1" ht="13.5">
      <c r="B1111" s="30"/>
      <c r="C1111" s="30"/>
      <c r="D1111" s="31"/>
      <c r="E1111" s="35"/>
      <c r="F1111" s="130"/>
      <c r="G1111" s="14"/>
      <c r="H1111" s="14"/>
      <c r="I1111" s="14"/>
      <c r="J1111" s="14"/>
      <c r="K1111" s="14"/>
      <c r="L1111" s="14"/>
      <c r="M1111" s="14"/>
    </row>
    <row r="1112" spans="2:13" s="7" customFormat="1" ht="13.5">
      <c r="B1112" s="30"/>
      <c r="C1112" s="30"/>
      <c r="D1112" s="31"/>
      <c r="E1112" s="35"/>
      <c r="F1112" s="130"/>
      <c r="G1112" s="14"/>
      <c r="H1112" s="14"/>
      <c r="I1112" s="14"/>
      <c r="J1112" s="14"/>
      <c r="K1112" s="14"/>
      <c r="L1112" s="14"/>
      <c r="M1112" s="14"/>
    </row>
    <row r="1113" spans="2:13" s="7" customFormat="1" ht="13.5">
      <c r="B1113" s="30"/>
      <c r="C1113" s="30"/>
      <c r="D1113" s="31"/>
      <c r="E1113" s="35"/>
      <c r="F1113" s="130"/>
      <c r="G1113" s="14"/>
      <c r="H1113" s="14"/>
      <c r="I1113" s="14"/>
      <c r="J1113" s="14"/>
      <c r="K1113" s="14"/>
      <c r="L1113" s="14"/>
      <c r="M1113" s="14"/>
    </row>
    <row r="1114" spans="2:13" s="7" customFormat="1" ht="13.5">
      <c r="B1114" s="30"/>
      <c r="C1114" s="30"/>
      <c r="D1114" s="31"/>
      <c r="E1114" s="35"/>
      <c r="F1114" s="130"/>
      <c r="G1114" s="14"/>
      <c r="H1114" s="14"/>
      <c r="I1114" s="14"/>
      <c r="J1114" s="14"/>
      <c r="K1114" s="14"/>
      <c r="L1114" s="14"/>
      <c r="M1114" s="14"/>
    </row>
    <row r="1115" spans="2:13" s="7" customFormat="1" ht="13.5">
      <c r="B1115" s="30"/>
      <c r="C1115" s="30"/>
      <c r="D1115" s="31"/>
      <c r="E1115" s="35"/>
      <c r="F1115" s="130"/>
      <c r="G1115" s="14"/>
      <c r="H1115" s="14"/>
      <c r="I1115" s="14"/>
      <c r="J1115" s="14"/>
      <c r="K1115" s="14"/>
      <c r="L1115" s="14"/>
      <c r="M1115" s="14"/>
    </row>
    <row r="1116" spans="2:13" s="7" customFormat="1" ht="13.5">
      <c r="B1116" s="30"/>
      <c r="C1116" s="30"/>
      <c r="D1116" s="31"/>
      <c r="E1116" s="35"/>
      <c r="F1116" s="130"/>
      <c r="G1116" s="14"/>
      <c r="H1116" s="14"/>
      <c r="I1116" s="14"/>
      <c r="J1116" s="14"/>
      <c r="K1116" s="14"/>
      <c r="L1116" s="14"/>
      <c r="M1116" s="14"/>
    </row>
    <row r="1117" spans="2:13" s="7" customFormat="1" ht="13.5">
      <c r="B1117" s="30"/>
      <c r="C1117" s="30"/>
      <c r="D1117" s="31"/>
      <c r="E1117" s="35"/>
      <c r="F1117" s="130"/>
      <c r="G1117" s="14"/>
      <c r="H1117" s="14"/>
      <c r="I1117" s="14"/>
      <c r="J1117" s="14"/>
      <c r="K1117" s="14"/>
      <c r="L1117" s="14"/>
      <c r="M1117" s="14"/>
    </row>
    <row r="1118" spans="2:13" s="7" customFormat="1" ht="13.5">
      <c r="B1118" s="30"/>
      <c r="C1118" s="30"/>
      <c r="D1118" s="31"/>
      <c r="E1118" s="35"/>
      <c r="F1118" s="130"/>
      <c r="G1118" s="14"/>
      <c r="H1118" s="14"/>
      <c r="I1118" s="14"/>
      <c r="J1118" s="14"/>
      <c r="K1118" s="14"/>
      <c r="L1118" s="14"/>
      <c r="M1118" s="14"/>
    </row>
    <row r="1119" spans="2:13" s="7" customFormat="1" ht="13.5">
      <c r="B1119" s="30"/>
      <c r="C1119" s="30"/>
      <c r="D1119" s="31"/>
      <c r="E1119" s="35"/>
      <c r="F1119" s="130"/>
      <c r="G1119" s="14"/>
      <c r="H1119" s="14"/>
      <c r="I1119" s="14"/>
      <c r="J1119" s="14"/>
      <c r="K1119" s="14"/>
      <c r="L1119" s="14"/>
      <c r="M1119" s="14"/>
    </row>
    <row r="1120" spans="2:13" s="7" customFormat="1" ht="13.5">
      <c r="B1120" s="30"/>
      <c r="C1120" s="30"/>
      <c r="D1120" s="31"/>
      <c r="E1120" s="35"/>
      <c r="F1120" s="130"/>
      <c r="G1120" s="14"/>
      <c r="H1120" s="14"/>
      <c r="I1120" s="14"/>
      <c r="J1120" s="14"/>
      <c r="K1120" s="14"/>
      <c r="L1120" s="14"/>
      <c r="M1120" s="14"/>
    </row>
    <row r="1121" spans="2:13" s="7" customFormat="1" ht="13.5">
      <c r="B1121" s="30"/>
      <c r="C1121" s="30"/>
      <c r="D1121" s="31"/>
      <c r="E1121" s="35"/>
      <c r="F1121" s="130"/>
      <c r="G1121" s="14"/>
      <c r="H1121" s="14"/>
      <c r="I1121" s="14"/>
      <c r="J1121" s="14"/>
      <c r="K1121" s="14"/>
      <c r="L1121" s="14"/>
      <c r="M1121" s="14"/>
    </row>
    <row r="1122" spans="2:13" s="7" customFormat="1" ht="13.5">
      <c r="B1122" s="30"/>
      <c r="C1122" s="30"/>
      <c r="D1122" s="31"/>
      <c r="E1122" s="35"/>
      <c r="F1122" s="130"/>
      <c r="G1122" s="14"/>
      <c r="H1122" s="14"/>
      <c r="I1122" s="14"/>
      <c r="J1122" s="14"/>
      <c r="K1122" s="14"/>
      <c r="L1122" s="14"/>
      <c r="M1122" s="14"/>
    </row>
    <row r="1123" spans="2:13" s="7" customFormat="1" ht="13.5">
      <c r="B1123" s="30"/>
      <c r="C1123" s="30"/>
      <c r="D1123" s="31"/>
      <c r="E1123" s="35"/>
      <c r="F1123" s="130"/>
      <c r="G1123" s="14"/>
      <c r="H1123" s="14"/>
      <c r="I1123" s="14"/>
      <c r="J1123" s="14"/>
      <c r="K1123" s="14"/>
      <c r="L1123" s="14"/>
      <c r="M1123" s="14"/>
    </row>
    <row r="1124" spans="2:13" s="7" customFormat="1" ht="13.5">
      <c r="B1124" s="30"/>
      <c r="C1124" s="30"/>
      <c r="D1124" s="31"/>
      <c r="E1124" s="35"/>
      <c r="F1124" s="130"/>
      <c r="G1124" s="14"/>
      <c r="H1124" s="14"/>
      <c r="I1124" s="14"/>
      <c r="J1124" s="14"/>
      <c r="K1124" s="14"/>
      <c r="L1124" s="14"/>
      <c r="M1124" s="14"/>
    </row>
    <row r="1125" spans="2:13" s="7" customFormat="1" ht="13.5">
      <c r="B1125" s="30"/>
      <c r="C1125" s="30"/>
      <c r="D1125" s="31"/>
      <c r="E1125" s="35"/>
      <c r="F1125" s="130"/>
      <c r="G1125" s="14"/>
      <c r="H1125" s="14"/>
      <c r="I1125" s="14"/>
      <c r="J1125" s="14"/>
      <c r="K1125" s="14"/>
      <c r="L1125" s="14"/>
      <c r="M1125" s="14"/>
    </row>
    <row r="1126" spans="2:13" s="7" customFormat="1" ht="13.5">
      <c r="B1126" s="30"/>
      <c r="C1126" s="30"/>
      <c r="D1126" s="31"/>
      <c r="E1126" s="35"/>
      <c r="F1126" s="130"/>
      <c r="G1126" s="14"/>
      <c r="H1126" s="14"/>
      <c r="I1126" s="14"/>
      <c r="J1126" s="14"/>
      <c r="K1126" s="14"/>
      <c r="L1126" s="14"/>
      <c r="M1126" s="14"/>
    </row>
    <row r="1127" spans="2:13" s="7" customFormat="1" ht="13.5">
      <c r="B1127" s="30"/>
      <c r="C1127" s="30"/>
      <c r="D1127" s="31"/>
      <c r="E1127" s="35"/>
      <c r="F1127" s="130"/>
      <c r="G1127" s="14"/>
      <c r="H1127" s="14"/>
      <c r="I1127" s="14"/>
      <c r="J1127" s="14"/>
      <c r="K1127" s="14"/>
      <c r="L1127" s="14"/>
      <c r="M1127" s="14"/>
    </row>
    <row r="1128" spans="2:13" s="7" customFormat="1" ht="13.5">
      <c r="B1128" s="30"/>
      <c r="C1128" s="30"/>
      <c r="D1128" s="31"/>
      <c r="E1128" s="35"/>
      <c r="F1128" s="130"/>
      <c r="G1128" s="14"/>
      <c r="H1128" s="14"/>
      <c r="I1128" s="14"/>
      <c r="J1128" s="14"/>
      <c r="K1128" s="14"/>
      <c r="L1128" s="14"/>
      <c r="M1128" s="14"/>
    </row>
    <row r="1129" spans="2:13" s="7" customFormat="1" ht="13.5">
      <c r="B1129" s="30"/>
      <c r="C1129" s="30"/>
      <c r="D1129" s="31"/>
      <c r="E1129" s="35"/>
      <c r="F1129" s="130"/>
      <c r="G1129" s="14"/>
      <c r="H1129" s="14"/>
      <c r="I1129" s="14"/>
      <c r="J1129" s="14"/>
      <c r="K1129" s="14"/>
      <c r="L1129" s="14"/>
      <c r="M1129" s="14"/>
    </row>
    <row r="1130" spans="2:13" s="7" customFormat="1" ht="13.5">
      <c r="B1130" s="30"/>
      <c r="C1130" s="30"/>
      <c r="D1130" s="31"/>
      <c r="E1130" s="35"/>
      <c r="F1130" s="130"/>
      <c r="G1130" s="14"/>
      <c r="H1130" s="14"/>
      <c r="I1130" s="14"/>
      <c r="J1130" s="14"/>
      <c r="K1130" s="14"/>
      <c r="L1130" s="14"/>
      <c r="M1130" s="14"/>
    </row>
    <row r="1131" spans="2:13" s="7" customFormat="1" ht="13.5">
      <c r="B1131" s="30"/>
      <c r="C1131" s="30"/>
      <c r="D1131" s="31"/>
      <c r="E1131" s="35"/>
      <c r="F1131" s="130"/>
      <c r="G1131" s="14"/>
      <c r="H1131" s="14"/>
      <c r="I1131" s="14"/>
      <c r="J1131" s="14"/>
      <c r="K1131" s="14"/>
      <c r="L1131" s="14"/>
      <c r="M1131" s="14"/>
    </row>
    <row r="1132" spans="2:13" s="7" customFormat="1" ht="13.5">
      <c r="B1132" s="30"/>
      <c r="C1132" s="30"/>
      <c r="D1132" s="31"/>
      <c r="E1132" s="35"/>
      <c r="F1132" s="130"/>
      <c r="G1132" s="14"/>
      <c r="H1132" s="14"/>
      <c r="I1132" s="14"/>
      <c r="J1132" s="14"/>
      <c r="K1132" s="14"/>
      <c r="L1132" s="14"/>
      <c r="M1132" s="14"/>
    </row>
    <row r="1133" spans="2:13" s="7" customFormat="1" ht="13.5">
      <c r="B1133" s="30"/>
      <c r="C1133" s="30"/>
      <c r="D1133" s="31"/>
      <c r="E1133" s="35"/>
      <c r="F1133" s="130"/>
      <c r="G1133" s="14"/>
      <c r="H1133" s="14"/>
      <c r="I1133" s="14"/>
      <c r="J1133" s="14"/>
      <c r="K1133" s="14"/>
      <c r="L1133" s="14"/>
      <c r="M1133" s="14"/>
    </row>
    <row r="1134" spans="2:13" s="7" customFormat="1" ht="13.5">
      <c r="B1134" s="30"/>
      <c r="C1134" s="30"/>
      <c r="D1134" s="31"/>
      <c r="E1134" s="35"/>
      <c r="F1134" s="130"/>
      <c r="G1134" s="14"/>
      <c r="H1134" s="14"/>
      <c r="I1134" s="14"/>
      <c r="J1134" s="14"/>
      <c r="K1134" s="14"/>
      <c r="L1134" s="14"/>
      <c r="M1134" s="14"/>
    </row>
    <row r="1135" spans="2:13" s="7" customFormat="1" ht="13.5">
      <c r="B1135" s="30"/>
      <c r="C1135" s="30"/>
      <c r="D1135" s="31"/>
      <c r="E1135" s="35"/>
      <c r="F1135" s="130"/>
      <c r="G1135" s="14"/>
      <c r="H1135" s="14"/>
      <c r="I1135" s="14"/>
      <c r="J1135" s="14"/>
      <c r="K1135" s="14"/>
      <c r="L1135" s="14"/>
      <c r="M1135" s="14"/>
    </row>
    <row r="1136" spans="2:13" s="7" customFormat="1" ht="13.5">
      <c r="B1136" s="30"/>
      <c r="C1136" s="30"/>
      <c r="D1136" s="31"/>
      <c r="E1136" s="35"/>
      <c r="F1136" s="130"/>
      <c r="G1136" s="14"/>
      <c r="H1136" s="14"/>
      <c r="I1136" s="14"/>
      <c r="J1136" s="14"/>
      <c r="K1136" s="14"/>
      <c r="L1136" s="14"/>
      <c r="M1136" s="14"/>
    </row>
    <row r="1137" spans="2:13" s="7" customFormat="1" ht="13.5">
      <c r="B1137" s="30"/>
      <c r="C1137" s="30"/>
      <c r="D1137" s="31"/>
      <c r="E1137" s="35"/>
      <c r="F1137" s="130"/>
      <c r="G1137" s="14"/>
      <c r="H1137" s="14"/>
      <c r="I1137" s="14"/>
      <c r="J1137" s="14"/>
      <c r="K1137" s="14"/>
      <c r="L1137" s="14"/>
      <c r="M1137" s="14"/>
    </row>
    <row r="1138" spans="2:13" s="7" customFormat="1" ht="13.5">
      <c r="B1138" s="30"/>
      <c r="C1138" s="30"/>
      <c r="D1138" s="31"/>
      <c r="E1138" s="35"/>
      <c r="F1138" s="130"/>
      <c r="G1138" s="14"/>
      <c r="H1138" s="14"/>
      <c r="I1138" s="14"/>
      <c r="J1138" s="14"/>
      <c r="K1138" s="14"/>
      <c r="L1138" s="14"/>
      <c r="M1138" s="14"/>
    </row>
    <row r="1139" spans="2:13" s="7" customFormat="1" ht="13.5">
      <c r="B1139" s="30"/>
      <c r="C1139" s="30"/>
      <c r="D1139" s="31"/>
      <c r="E1139" s="35"/>
      <c r="F1139" s="130"/>
      <c r="G1139" s="14"/>
      <c r="H1139" s="14"/>
      <c r="I1139" s="14"/>
      <c r="J1139" s="14"/>
      <c r="K1139" s="14"/>
      <c r="L1139" s="14"/>
      <c r="M1139" s="14"/>
    </row>
    <row r="1140" spans="2:13" s="7" customFormat="1" ht="13.5">
      <c r="B1140" s="30"/>
      <c r="C1140" s="30"/>
      <c r="D1140" s="31"/>
      <c r="E1140" s="35"/>
      <c r="F1140" s="130"/>
      <c r="G1140" s="14"/>
      <c r="H1140" s="14"/>
      <c r="I1140" s="14"/>
      <c r="J1140" s="14"/>
      <c r="K1140" s="14"/>
      <c r="L1140" s="14"/>
      <c r="M1140" s="14"/>
    </row>
    <row r="1141" spans="2:13" s="7" customFormat="1" ht="13.5">
      <c r="B1141" s="30"/>
      <c r="C1141" s="30"/>
      <c r="D1141" s="31"/>
      <c r="E1141" s="35"/>
      <c r="F1141" s="130"/>
      <c r="G1141" s="14"/>
      <c r="H1141" s="14"/>
      <c r="I1141" s="14"/>
      <c r="J1141" s="14"/>
      <c r="K1141" s="14"/>
      <c r="L1141" s="14"/>
      <c r="M1141" s="14"/>
    </row>
    <row r="1142" spans="2:13" s="7" customFormat="1" ht="13.5">
      <c r="B1142" s="30"/>
      <c r="C1142" s="30"/>
      <c r="D1142" s="31"/>
      <c r="E1142" s="35"/>
      <c r="F1142" s="130"/>
      <c r="G1142" s="14"/>
      <c r="H1142" s="14"/>
      <c r="I1142" s="14"/>
      <c r="J1142" s="14"/>
      <c r="K1142" s="14"/>
      <c r="L1142" s="14"/>
      <c r="M1142" s="14"/>
    </row>
    <row r="1143" spans="2:13" s="7" customFormat="1" ht="13.5">
      <c r="B1143" s="30"/>
      <c r="C1143" s="30"/>
      <c r="D1143" s="31"/>
      <c r="E1143" s="35"/>
      <c r="F1143" s="130"/>
      <c r="G1143" s="14"/>
      <c r="H1143" s="14"/>
      <c r="I1143" s="14"/>
      <c r="J1143" s="14"/>
      <c r="K1143" s="14"/>
      <c r="L1143" s="14"/>
      <c r="M1143" s="14"/>
    </row>
    <row r="1144" spans="2:13" s="7" customFormat="1" ht="13.5">
      <c r="B1144" s="30"/>
      <c r="C1144" s="30"/>
      <c r="D1144" s="31"/>
      <c r="E1144" s="35"/>
      <c r="F1144" s="130"/>
      <c r="G1144" s="14"/>
      <c r="H1144" s="14"/>
      <c r="I1144" s="14"/>
      <c r="J1144" s="14"/>
      <c r="K1144" s="14"/>
      <c r="L1144" s="14"/>
      <c r="M1144" s="14"/>
    </row>
    <row r="1145" spans="2:13" s="7" customFormat="1" ht="13.5">
      <c r="B1145" s="30"/>
      <c r="C1145" s="30"/>
      <c r="D1145" s="31"/>
      <c r="E1145" s="35"/>
      <c r="F1145" s="130"/>
      <c r="G1145" s="14"/>
      <c r="H1145" s="14"/>
      <c r="I1145" s="14"/>
      <c r="J1145" s="14"/>
      <c r="K1145" s="14"/>
      <c r="L1145" s="14"/>
      <c r="M1145" s="14"/>
    </row>
    <row r="1146" spans="2:13" s="7" customFormat="1" ht="13.5">
      <c r="B1146" s="30"/>
      <c r="C1146" s="30"/>
      <c r="D1146" s="31"/>
      <c r="E1146" s="35"/>
      <c r="F1146" s="130"/>
      <c r="G1146" s="14"/>
      <c r="H1146" s="14"/>
      <c r="I1146" s="14"/>
      <c r="J1146" s="14"/>
      <c r="K1146" s="14"/>
      <c r="L1146" s="14"/>
      <c r="M1146" s="14"/>
    </row>
    <row r="1147" spans="2:13" s="7" customFormat="1" ht="13.5">
      <c r="B1147" s="30"/>
      <c r="C1147" s="30"/>
      <c r="D1147" s="31"/>
      <c r="E1147" s="35"/>
      <c r="F1147" s="130"/>
      <c r="G1147" s="14"/>
      <c r="H1147" s="14"/>
      <c r="I1147" s="14"/>
      <c r="J1147" s="14"/>
      <c r="K1147" s="14"/>
      <c r="L1147" s="14"/>
      <c r="M1147" s="14"/>
    </row>
    <row r="1148" spans="2:13" s="7" customFormat="1" ht="13.5">
      <c r="B1148" s="30"/>
      <c r="C1148" s="30"/>
      <c r="D1148" s="31"/>
      <c r="E1148" s="35"/>
      <c r="F1148" s="130"/>
      <c r="G1148" s="14"/>
      <c r="H1148" s="14"/>
      <c r="I1148" s="14"/>
      <c r="J1148" s="14"/>
      <c r="K1148" s="14"/>
      <c r="L1148" s="14"/>
      <c r="M1148" s="14"/>
    </row>
    <row r="1149" spans="2:13" s="7" customFormat="1" ht="13.5">
      <c r="B1149" s="30"/>
      <c r="C1149" s="30"/>
      <c r="D1149" s="31"/>
      <c r="E1149" s="35"/>
      <c r="F1149" s="130"/>
      <c r="G1149" s="14"/>
      <c r="H1149" s="14"/>
      <c r="I1149" s="14"/>
      <c r="J1149" s="14"/>
      <c r="K1149" s="14"/>
      <c r="L1149" s="14"/>
      <c r="M1149" s="14"/>
    </row>
    <row r="1150" spans="2:13" s="7" customFormat="1" ht="13.5">
      <c r="B1150" s="30"/>
      <c r="C1150" s="30"/>
      <c r="D1150" s="31"/>
      <c r="E1150" s="35"/>
      <c r="F1150" s="130"/>
      <c r="G1150" s="14"/>
      <c r="H1150" s="14"/>
      <c r="I1150" s="14"/>
      <c r="J1150" s="14"/>
      <c r="K1150" s="14"/>
      <c r="L1150" s="14"/>
      <c r="M1150" s="14"/>
    </row>
    <row r="1151" spans="2:13" s="7" customFormat="1" ht="13.5">
      <c r="B1151" s="30"/>
      <c r="C1151" s="30"/>
      <c r="D1151" s="31"/>
      <c r="E1151" s="35"/>
      <c r="F1151" s="130"/>
      <c r="G1151" s="14"/>
      <c r="H1151" s="14"/>
      <c r="I1151" s="14"/>
      <c r="J1151" s="14"/>
      <c r="K1151" s="14"/>
      <c r="L1151" s="14"/>
      <c r="M1151" s="14"/>
    </row>
    <row r="1152" spans="2:13" s="7" customFormat="1" ht="13.5">
      <c r="B1152" s="30"/>
      <c r="C1152" s="30"/>
      <c r="D1152" s="31"/>
      <c r="E1152" s="35"/>
      <c r="F1152" s="130"/>
      <c r="G1152" s="14"/>
      <c r="H1152" s="14"/>
      <c r="I1152" s="14"/>
      <c r="J1152" s="14"/>
      <c r="K1152" s="14"/>
      <c r="L1152" s="14"/>
      <c r="M1152" s="14"/>
    </row>
    <row r="1153" spans="2:13" s="7" customFormat="1" ht="13.5">
      <c r="B1153" s="30"/>
      <c r="C1153" s="30"/>
      <c r="D1153" s="31"/>
      <c r="E1153" s="35"/>
      <c r="F1153" s="130"/>
      <c r="G1153" s="14"/>
      <c r="H1153" s="14"/>
      <c r="I1153" s="14"/>
      <c r="J1153" s="14"/>
      <c r="K1153" s="14"/>
      <c r="L1153" s="14"/>
      <c r="M1153" s="14"/>
    </row>
    <row r="1154" spans="2:13" s="7" customFormat="1" ht="13.5">
      <c r="B1154" s="30"/>
      <c r="C1154" s="30"/>
      <c r="D1154" s="31"/>
      <c r="E1154" s="35"/>
      <c r="F1154" s="130"/>
      <c r="G1154" s="14"/>
      <c r="H1154" s="14"/>
      <c r="I1154" s="14"/>
      <c r="J1154" s="14"/>
      <c r="K1154" s="14"/>
      <c r="L1154" s="14"/>
      <c r="M1154" s="14"/>
    </row>
    <row r="1155" spans="2:13" s="7" customFormat="1" ht="13.5">
      <c r="B1155" s="30"/>
      <c r="C1155" s="30"/>
      <c r="D1155" s="31"/>
      <c r="E1155" s="35"/>
      <c r="F1155" s="130"/>
      <c r="G1155" s="14"/>
      <c r="H1155" s="14"/>
      <c r="I1155" s="14"/>
      <c r="J1155" s="14"/>
      <c r="K1155" s="14"/>
      <c r="L1155" s="14"/>
      <c r="M1155" s="14"/>
    </row>
    <row r="1156" spans="2:13" s="7" customFormat="1" ht="13.5">
      <c r="B1156" s="30"/>
      <c r="C1156" s="30"/>
      <c r="D1156" s="31"/>
      <c r="E1156" s="35"/>
      <c r="F1156" s="130"/>
      <c r="G1156" s="14"/>
      <c r="H1156" s="14"/>
      <c r="I1156" s="14"/>
      <c r="J1156" s="14"/>
      <c r="K1156" s="14"/>
      <c r="L1156" s="14"/>
      <c r="M1156" s="14"/>
    </row>
    <row r="1157" spans="2:13" s="7" customFormat="1" ht="13.5">
      <c r="B1157" s="30"/>
      <c r="C1157" s="30"/>
      <c r="D1157" s="31"/>
      <c r="E1157" s="35"/>
      <c r="F1157" s="130"/>
      <c r="G1157" s="14"/>
      <c r="H1157" s="14"/>
      <c r="I1157" s="14"/>
      <c r="J1157" s="14"/>
      <c r="K1157" s="14"/>
      <c r="L1157" s="14"/>
      <c r="M1157" s="14"/>
    </row>
    <row r="1158" spans="2:13" s="7" customFormat="1" ht="13.5">
      <c r="B1158" s="30"/>
      <c r="C1158" s="30"/>
      <c r="D1158" s="31"/>
      <c r="E1158" s="35"/>
      <c r="F1158" s="130"/>
      <c r="G1158" s="14"/>
      <c r="H1158" s="14"/>
      <c r="I1158" s="14"/>
      <c r="J1158" s="14"/>
      <c r="K1158" s="14"/>
      <c r="L1158" s="14"/>
      <c r="M1158" s="14"/>
    </row>
    <row r="1159" spans="2:13" s="7" customFormat="1" ht="13.5">
      <c r="B1159" s="30"/>
      <c r="C1159" s="30"/>
      <c r="D1159" s="31"/>
      <c r="E1159" s="35"/>
      <c r="F1159" s="130"/>
      <c r="G1159" s="14"/>
      <c r="H1159" s="14"/>
      <c r="I1159" s="14"/>
      <c r="J1159" s="14"/>
      <c r="K1159" s="14"/>
      <c r="L1159" s="14"/>
      <c r="M1159" s="14"/>
    </row>
    <row r="1160" spans="2:13" s="7" customFormat="1" ht="13.5">
      <c r="B1160" s="30"/>
      <c r="C1160" s="30"/>
      <c r="D1160" s="31"/>
      <c r="E1160" s="35"/>
      <c r="F1160" s="130"/>
      <c r="G1160" s="14"/>
      <c r="H1160" s="14"/>
      <c r="I1160" s="14"/>
      <c r="J1160" s="14"/>
      <c r="K1160" s="14"/>
      <c r="L1160" s="14"/>
      <c r="M1160" s="14"/>
    </row>
    <row r="1161" spans="2:13" s="7" customFormat="1" ht="13.5">
      <c r="B1161" s="30"/>
      <c r="C1161" s="30"/>
      <c r="D1161" s="31"/>
      <c r="E1161" s="35"/>
      <c r="F1161" s="130"/>
      <c r="G1161" s="14"/>
      <c r="H1161" s="14"/>
      <c r="I1161" s="14"/>
      <c r="J1161" s="14"/>
      <c r="K1161" s="14"/>
      <c r="L1161" s="14"/>
      <c r="M1161" s="14"/>
    </row>
    <row r="1162" spans="2:13" s="7" customFormat="1" ht="13.5">
      <c r="B1162" s="30"/>
      <c r="C1162" s="30"/>
      <c r="D1162" s="31"/>
      <c r="E1162" s="35"/>
      <c r="F1162" s="130"/>
      <c r="G1162" s="14"/>
      <c r="H1162" s="14"/>
      <c r="I1162" s="14"/>
      <c r="J1162" s="14"/>
      <c r="K1162" s="14"/>
      <c r="L1162" s="14"/>
      <c r="M1162" s="14"/>
    </row>
    <row r="1163" spans="2:13" s="7" customFormat="1" ht="13.5">
      <c r="B1163" s="30"/>
      <c r="C1163" s="30"/>
      <c r="D1163" s="31"/>
      <c r="E1163" s="35"/>
      <c r="F1163" s="130"/>
      <c r="G1163" s="14"/>
      <c r="H1163" s="14"/>
      <c r="I1163" s="14"/>
      <c r="J1163" s="14"/>
      <c r="K1163" s="14"/>
      <c r="L1163" s="14"/>
      <c r="M1163" s="14"/>
    </row>
    <row r="1164" spans="2:13" s="7" customFormat="1" ht="13.5">
      <c r="B1164" s="30"/>
      <c r="C1164" s="30"/>
      <c r="D1164" s="31"/>
      <c r="E1164" s="35"/>
      <c r="F1164" s="130"/>
      <c r="G1164" s="14"/>
      <c r="H1164" s="14"/>
      <c r="I1164" s="14"/>
      <c r="J1164" s="14"/>
      <c r="K1164" s="14"/>
      <c r="L1164" s="14"/>
      <c r="M1164" s="14"/>
    </row>
    <row r="1165" spans="2:13" s="7" customFormat="1" ht="13.5">
      <c r="B1165" s="30"/>
      <c r="C1165" s="30"/>
      <c r="D1165" s="31"/>
      <c r="E1165" s="35"/>
      <c r="F1165" s="130"/>
      <c r="G1165" s="14"/>
      <c r="H1165" s="14"/>
      <c r="I1165" s="14"/>
      <c r="J1165" s="14"/>
      <c r="K1165" s="14"/>
      <c r="L1165" s="14"/>
      <c r="M1165" s="14"/>
    </row>
    <row r="1166" spans="2:13" s="7" customFormat="1" ht="13.5">
      <c r="B1166" s="30"/>
      <c r="C1166" s="30"/>
      <c r="D1166" s="31"/>
      <c r="E1166" s="35"/>
      <c r="F1166" s="130"/>
      <c r="G1166" s="14"/>
      <c r="H1166" s="14"/>
      <c r="I1166" s="14"/>
      <c r="J1166" s="14"/>
      <c r="K1166" s="14"/>
      <c r="L1166" s="14"/>
      <c r="M1166" s="14"/>
    </row>
    <row r="1167" spans="2:13" s="7" customFormat="1" ht="13.5">
      <c r="B1167" s="30"/>
      <c r="C1167" s="30"/>
      <c r="D1167" s="31"/>
      <c r="E1167" s="35"/>
      <c r="F1167" s="130"/>
      <c r="G1167" s="14"/>
      <c r="H1167" s="14"/>
      <c r="I1167" s="14"/>
      <c r="J1167" s="14"/>
      <c r="K1167" s="14"/>
      <c r="L1167" s="14"/>
      <c r="M1167" s="14"/>
    </row>
    <row r="1168" spans="2:13" s="7" customFormat="1" ht="13.5">
      <c r="B1168" s="30"/>
      <c r="C1168" s="30"/>
      <c r="D1168" s="31"/>
      <c r="E1168" s="35"/>
      <c r="F1168" s="130"/>
      <c r="G1168" s="14"/>
      <c r="H1168" s="14"/>
      <c r="I1168" s="14"/>
      <c r="J1168" s="14"/>
      <c r="K1168" s="14"/>
      <c r="L1168" s="14"/>
      <c r="M1168" s="14"/>
    </row>
    <row r="1169" spans="2:13" s="7" customFormat="1" ht="13.5">
      <c r="B1169" s="30"/>
      <c r="C1169" s="30"/>
      <c r="D1169" s="31"/>
      <c r="E1169" s="35"/>
      <c r="F1169" s="130"/>
      <c r="G1169" s="14"/>
      <c r="H1169" s="14"/>
      <c r="I1169" s="14"/>
      <c r="J1169" s="14"/>
      <c r="K1169" s="14"/>
      <c r="L1169" s="14"/>
      <c r="M1169" s="14"/>
    </row>
    <row r="1170" spans="2:13" s="7" customFormat="1" ht="13.5">
      <c r="B1170" s="30"/>
      <c r="C1170" s="30"/>
      <c r="D1170" s="31"/>
      <c r="E1170" s="35"/>
      <c r="F1170" s="130"/>
      <c r="G1170" s="14"/>
      <c r="H1170" s="14"/>
      <c r="I1170" s="14"/>
      <c r="J1170" s="14"/>
      <c r="K1170" s="14"/>
      <c r="L1170" s="14"/>
      <c r="M1170" s="14"/>
    </row>
    <row r="1171" spans="2:13" s="7" customFormat="1" ht="13.5">
      <c r="B1171" s="30"/>
      <c r="C1171" s="30"/>
      <c r="D1171" s="31"/>
      <c r="E1171" s="35"/>
      <c r="F1171" s="130"/>
      <c r="G1171" s="14"/>
      <c r="H1171" s="14"/>
      <c r="I1171" s="14"/>
      <c r="J1171" s="14"/>
      <c r="K1171" s="14"/>
      <c r="L1171" s="14"/>
      <c r="M1171" s="14"/>
    </row>
    <row r="1172" spans="2:13" s="7" customFormat="1" ht="13.5">
      <c r="B1172" s="30"/>
      <c r="C1172" s="30"/>
      <c r="D1172" s="31"/>
      <c r="E1172" s="35"/>
      <c r="F1172" s="130"/>
      <c r="G1172" s="14"/>
      <c r="H1172" s="14"/>
      <c r="I1172" s="14"/>
      <c r="J1172" s="14"/>
      <c r="K1172" s="14"/>
      <c r="L1172" s="14"/>
      <c r="M1172" s="14"/>
    </row>
    <row r="1173" spans="2:13" s="7" customFormat="1" ht="13.5">
      <c r="B1173" s="30"/>
      <c r="C1173" s="30"/>
      <c r="D1173" s="31"/>
      <c r="E1173" s="35"/>
      <c r="F1173" s="130"/>
      <c r="G1173" s="14"/>
      <c r="H1173" s="14"/>
      <c r="I1173" s="14"/>
      <c r="J1173" s="14"/>
      <c r="K1173" s="14"/>
      <c r="L1173" s="14"/>
      <c r="M1173" s="14"/>
    </row>
    <row r="1174" spans="2:13" s="7" customFormat="1" ht="13.5">
      <c r="B1174" s="30"/>
      <c r="C1174" s="30"/>
      <c r="D1174" s="31"/>
      <c r="E1174" s="35"/>
      <c r="F1174" s="130"/>
      <c r="G1174" s="14"/>
      <c r="H1174" s="14"/>
      <c r="I1174" s="14"/>
      <c r="J1174" s="14"/>
      <c r="K1174" s="14"/>
      <c r="L1174" s="14"/>
      <c r="M1174" s="14"/>
    </row>
    <row r="1175" spans="2:13" s="7" customFormat="1" ht="13.5">
      <c r="B1175" s="30"/>
      <c r="C1175" s="30"/>
      <c r="D1175" s="31"/>
      <c r="E1175" s="35"/>
      <c r="F1175" s="130"/>
      <c r="G1175" s="14"/>
      <c r="H1175" s="14"/>
      <c r="I1175" s="14"/>
      <c r="J1175" s="14"/>
      <c r="K1175" s="14"/>
      <c r="L1175" s="14"/>
      <c r="M1175" s="14"/>
    </row>
    <row r="1176" spans="2:13" s="7" customFormat="1" ht="13.5">
      <c r="B1176" s="30"/>
      <c r="C1176" s="30"/>
      <c r="D1176" s="31"/>
      <c r="E1176" s="35"/>
      <c r="F1176" s="130"/>
      <c r="G1176" s="14"/>
      <c r="H1176" s="14"/>
      <c r="I1176" s="14"/>
      <c r="J1176" s="14"/>
      <c r="K1176" s="14"/>
      <c r="L1176" s="14"/>
      <c r="M1176" s="14"/>
    </row>
    <row r="1177" spans="2:13" s="7" customFormat="1" ht="13.5">
      <c r="B1177" s="30"/>
      <c r="C1177" s="30"/>
      <c r="D1177" s="31"/>
      <c r="E1177" s="35"/>
      <c r="F1177" s="130"/>
      <c r="G1177" s="14"/>
      <c r="H1177" s="14"/>
      <c r="I1177" s="14"/>
      <c r="J1177" s="14"/>
      <c r="K1177" s="14"/>
      <c r="L1177" s="14"/>
      <c r="M1177" s="14"/>
    </row>
    <row r="1178" spans="2:13" s="7" customFormat="1" ht="13.5">
      <c r="B1178" s="30"/>
      <c r="C1178" s="30"/>
      <c r="D1178" s="31"/>
      <c r="E1178" s="35"/>
      <c r="F1178" s="130"/>
      <c r="G1178" s="14"/>
      <c r="H1178" s="14"/>
      <c r="I1178" s="14"/>
      <c r="J1178" s="14"/>
      <c r="K1178" s="14"/>
      <c r="L1178" s="14"/>
      <c r="M1178" s="14"/>
    </row>
    <row r="1179" spans="2:13" s="7" customFormat="1" ht="13.5">
      <c r="B1179" s="30"/>
      <c r="C1179" s="30"/>
      <c r="D1179" s="31"/>
      <c r="E1179" s="35"/>
      <c r="F1179" s="130"/>
      <c r="G1179" s="14"/>
      <c r="H1179" s="14"/>
      <c r="I1179" s="14"/>
      <c r="J1179" s="14"/>
      <c r="K1179" s="14"/>
      <c r="L1179" s="14"/>
      <c r="M1179" s="14"/>
    </row>
    <row r="1180" spans="2:13" s="7" customFormat="1" ht="13.5">
      <c r="B1180" s="30"/>
      <c r="C1180" s="30"/>
      <c r="D1180" s="31"/>
      <c r="E1180" s="35"/>
      <c r="F1180" s="130"/>
      <c r="G1180" s="14"/>
      <c r="H1180" s="14"/>
      <c r="I1180" s="14"/>
      <c r="J1180" s="14"/>
      <c r="K1180" s="14"/>
      <c r="L1180" s="14"/>
      <c r="M1180" s="14"/>
    </row>
    <row r="1181" spans="2:13" s="7" customFormat="1" ht="13.5">
      <c r="B1181" s="30"/>
      <c r="C1181" s="30"/>
      <c r="D1181" s="31"/>
      <c r="E1181" s="35"/>
      <c r="F1181" s="130"/>
      <c r="G1181" s="14"/>
      <c r="H1181" s="14"/>
      <c r="I1181" s="14"/>
      <c r="J1181" s="14"/>
      <c r="K1181" s="14"/>
      <c r="L1181" s="14"/>
      <c r="M1181" s="14"/>
    </row>
    <row r="1182" spans="2:13" s="7" customFormat="1" ht="13.5">
      <c r="B1182" s="30"/>
      <c r="C1182" s="30"/>
      <c r="D1182" s="31"/>
      <c r="E1182" s="35"/>
      <c r="F1182" s="130"/>
      <c r="G1182" s="14"/>
      <c r="H1182" s="14"/>
      <c r="I1182" s="14"/>
      <c r="J1182" s="14"/>
      <c r="K1182" s="14"/>
      <c r="L1182" s="14"/>
      <c r="M1182" s="14"/>
    </row>
    <row r="1183" spans="2:13" s="7" customFormat="1" ht="13.5">
      <c r="B1183" s="30"/>
      <c r="C1183" s="30"/>
      <c r="D1183" s="31"/>
      <c r="E1183" s="35"/>
      <c r="F1183" s="130"/>
      <c r="G1183" s="14"/>
      <c r="H1183" s="14"/>
      <c r="I1183" s="14"/>
      <c r="J1183" s="14"/>
      <c r="K1183" s="14"/>
      <c r="L1183" s="14"/>
      <c r="M1183" s="14"/>
    </row>
    <row r="1184" spans="2:13" s="7" customFormat="1" ht="13.5">
      <c r="B1184" s="30"/>
      <c r="C1184" s="30"/>
      <c r="D1184" s="31"/>
      <c r="E1184" s="35"/>
      <c r="F1184" s="130"/>
      <c r="G1184" s="14"/>
      <c r="H1184" s="14"/>
      <c r="I1184" s="14"/>
      <c r="J1184" s="14"/>
      <c r="K1184" s="14"/>
      <c r="L1184" s="14"/>
      <c r="M1184" s="14"/>
    </row>
    <row r="1185" spans="2:13" s="7" customFormat="1" ht="13.5">
      <c r="B1185" s="30"/>
      <c r="C1185" s="30"/>
      <c r="D1185" s="31"/>
      <c r="E1185" s="35"/>
      <c r="F1185" s="130"/>
      <c r="G1185" s="14"/>
      <c r="H1185" s="14"/>
      <c r="I1185" s="14"/>
      <c r="J1185" s="14"/>
      <c r="K1185" s="14"/>
      <c r="L1185" s="14"/>
      <c r="M1185" s="14"/>
    </row>
    <row r="1186" spans="2:13" s="7" customFormat="1" ht="13.5">
      <c r="B1186" s="30"/>
      <c r="C1186" s="30"/>
      <c r="D1186" s="31"/>
      <c r="E1186" s="35"/>
      <c r="F1186" s="130"/>
      <c r="G1186" s="14"/>
      <c r="H1186" s="14"/>
      <c r="I1186" s="14"/>
      <c r="J1186" s="14"/>
      <c r="K1186" s="14"/>
      <c r="L1186" s="14"/>
      <c r="M1186" s="14"/>
    </row>
    <row r="1187" spans="2:13" s="7" customFormat="1" ht="13.5">
      <c r="B1187" s="30"/>
      <c r="C1187" s="30"/>
      <c r="D1187" s="31"/>
      <c r="E1187" s="35"/>
      <c r="F1187" s="130"/>
      <c r="G1187" s="14"/>
      <c r="H1187" s="14"/>
      <c r="I1187" s="14"/>
      <c r="J1187" s="14"/>
      <c r="K1187" s="14"/>
      <c r="L1187" s="14"/>
      <c r="M1187" s="14"/>
    </row>
    <row r="1188" spans="2:13" s="7" customFormat="1" ht="13.5">
      <c r="B1188" s="30"/>
      <c r="C1188" s="30"/>
      <c r="D1188" s="31"/>
      <c r="E1188" s="35"/>
      <c r="F1188" s="130"/>
      <c r="G1188" s="14"/>
      <c r="H1188" s="14"/>
      <c r="I1188" s="14"/>
      <c r="J1188" s="14"/>
      <c r="K1188" s="14"/>
      <c r="L1188" s="14"/>
      <c r="M1188" s="14"/>
    </row>
    <row r="1189" spans="2:13" s="7" customFormat="1" ht="13.5">
      <c r="B1189" s="30"/>
      <c r="C1189" s="30"/>
      <c r="D1189" s="31"/>
      <c r="E1189" s="35"/>
      <c r="F1189" s="130"/>
      <c r="G1189" s="14"/>
      <c r="H1189" s="14"/>
      <c r="I1189" s="14"/>
      <c r="J1189" s="14"/>
      <c r="K1189" s="14"/>
      <c r="L1189" s="14"/>
      <c r="M1189" s="14"/>
    </row>
    <row r="1190" spans="2:13" s="7" customFormat="1" ht="13.5">
      <c r="B1190" s="30"/>
      <c r="C1190" s="30"/>
      <c r="D1190" s="31"/>
      <c r="E1190" s="35"/>
      <c r="F1190" s="130"/>
      <c r="G1190" s="14"/>
      <c r="H1190" s="14"/>
      <c r="I1190" s="14"/>
      <c r="J1190" s="14"/>
      <c r="K1190" s="14"/>
      <c r="L1190" s="14"/>
      <c r="M1190" s="14"/>
    </row>
    <row r="1191" spans="2:13" s="7" customFormat="1" ht="13.5">
      <c r="B1191" s="30"/>
      <c r="C1191" s="30"/>
      <c r="D1191" s="31"/>
      <c r="E1191" s="35"/>
      <c r="F1191" s="130"/>
      <c r="G1191" s="14"/>
      <c r="H1191" s="14"/>
      <c r="I1191" s="14"/>
      <c r="J1191" s="14"/>
      <c r="K1191" s="14"/>
      <c r="L1191" s="14"/>
      <c r="M1191" s="14"/>
    </row>
    <row r="1192" spans="2:13" s="7" customFormat="1" ht="13.5">
      <c r="B1192" s="30"/>
      <c r="C1192" s="30"/>
      <c r="D1192" s="31"/>
      <c r="E1192" s="35"/>
      <c r="F1192" s="130"/>
      <c r="G1192" s="14"/>
      <c r="H1192" s="14"/>
      <c r="I1192" s="14"/>
      <c r="J1192" s="14"/>
      <c r="K1192" s="14"/>
      <c r="L1192" s="14"/>
      <c r="M1192" s="14"/>
    </row>
    <row r="1193" spans="2:13" s="7" customFormat="1" ht="13.5">
      <c r="B1193" s="30"/>
      <c r="C1193" s="30"/>
      <c r="D1193" s="31"/>
      <c r="E1193" s="35"/>
      <c r="F1193" s="130"/>
      <c r="G1193" s="14"/>
      <c r="H1193" s="14"/>
      <c r="I1193" s="14"/>
      <c r="J1193" s="14"/>
      <c r="K1193" s="14"/>
      <c r="L1193" s="14"/>
      <c r="M1193" s="14"/>
    </row>
    <row r="1194" spans="2:13" s="7" customFormat="1" ht="13.5">
      <c r="B1194" s="30"/>
      <c r="C1194" s="30"/>
      <c r="D1194" s="31"/>
      <c r="E1194" s="35"/>
      <c r="F1194" s="130"/>
      <c r="G1194" s="14"/>
      <c r="H1194" s="14"/>
      <c r="I1194" s="14"/>
      <c r="J1194" s="14"/>
      <c r="K1194" s="14"/>
      <c r="L1194" s="14"/>
      <c r="M1194" s="14"/>
    </row>
    <row r="1195" spans="2:13" s="7" customFormat="1" ht="13.5">
      <c r="B1195" s="30"/>
      <c r="C1195" s="30"/>
      <c r="D1195" s="31"/>
      <c r="E1195" s="35"/>
      <c r="F1195" s="130"/>
      <c r="G1195" s="14"/>
      <c r="H1195" s="14"/>
      <c r="I1195" s="14"/>
      <c r="J1195" s="14"/>
      <c r="K1195" s="14"/>
      <c r="L1195" s="14"/>
      <c r="M1195" s="14"/>
    </row>
    <row r="1196" spans="2:13" s="7" customFormat="1" ht="13.5">
      <c r="B1196" s="30"/>
      <c r="C1196" s="30"/>
      <c r="D1196" s="31"/>
      <c r="E1196" s="35"/>
      <c r="F1196" s="130"/>
      <c r="G1196" s="14"/>
      <c r="H1196" s="14"/>
      <c r="I1196" s="14"/>
      <c r="J1196" s="14"/>
      <c r="K1196" s="14"/>
      <c r="L1196" s="14"/>
      <c r="M1196" s="14"/>
    </row>
    <row r="1197" spans="2:13" s="7" customFormat="1" ht="13.5">
      <c r="B1197" s="30"/>
      <c r="C1197" s="30"/>
      <c r="D1197" s="31"/>
      <c r="E1197" s="35"/>
      <c r="F1197" s="130"/>
      <c r="G1197" s="14"/>
      <c r="H1197" s="14"/>
      <c r="I1197" s="14"/>
      <c r="J1197" s="14"/>
      <c r="K1197" s="14"/>
      <c r="L1197" s="14"/>
      <c r="M1197" s="14"/>
    </row>
    <row r="1198" spans="2:13" s="7" customFormat="1" ht="13.5">
      <c r="B1198" s="30"/>
      <c r="C1198" s="30"/>
      <c r="D1198" s="31"/>
      <c r="E1198" s="35"/>
      <c r="F1198" s="130"/>
      <c r="G1198" s="14"/>
      <c r="H1198" s="14"/>
      <c r="I1198" s="14"/>
      <c r="J1198" s="14"/>
      <c r="K1198" s="14"/>
      <c r="L1198" s="14"/>
      <c r="M1198" s="14"/>
    </row>
    <row r="1199" spans="2:13" s="7" customFormat="1" ht="13.5">
      <c r="B1199" s="30"/>
      <c r="C1199" s="30"/>
      <c r="D1199" s="31"/>
      <c r="E1199" s="35"/>
      <c r="F1199" s="130"/>
      <c r="G1199" s="14"/>
      <c r="H1199" s="14"/>
      <c r="I1199" s="14"/>
      <c r="J1199" s="14"/>
      <c r="K1199" s="14"/>
      <c r="L1199" s="14"/>
      <c r="M1199" s="14"/>
    </row>
    <row r="1200" spans="2:13" s="7" customFormat="1" ht="13.5">
      <c r="B1200" s="30"/>
      <c r="C1200" s="30"/>
      <c r="D1200" s="31"/>
      <c r="E1200" s="35"/>
      <c r="F1200" s="130"/>
      <c r="G1200" s="14"/>
      <c r="H1200" s="14"/>
      <c r="I1200" s="14"/>
      <c r="J1200" s="14"/>
      <c r="K1200" s="14"/>
      <c r="L1200" s="14"/>
      <c r="M1200" s="14"/>
    </row>
    <row r="1201" spans="2:13" s="7" customFormat="1" ht="13.5">
      <c r="B1201" s="30"/>
      <c r="C1201" s="30"/>
      <c r="D1201" s="31"/>
      <c r="E1201" s="35"/>
      <c r="F1201" s="130"/>
      <c r="G1201" s="14"/>
      <c r="H1201" s="14"/>
      <c r="I1201" s="14"/>
      <c r="J1201" s="14"/>
      <c r="K1201" s="14"/>
      <c r="L1201" s="14"/>
      <c r="M1201" s="14"/>
    </row>
    <row r="1202" spans="2:13" s="7" customFormat="1" ht="13.5">
      <c r="B1202" s="30"/>
      <c r="C1202" s="30"/>
      <c r="D1202" s="31"/>
      <c r="E1202" s="35"/>
      <c r="F1202" s="130"/>
      <c r="G1202" s="14"/>
      <c r="H1202" s="14"/>
      <c r="I1202" s="14"/>
      <c r="J1202" s="14"/>
      <c r="K1202" s="14"/>
      <c r="L1202" s="14"/>
      <c r="M1202" s="14"/>
    </row>
    <row r="1203" spans="2:13" s="7" customFormat="1" ht="13.5">
      <c r="B1203" s="30"/>
      <c r="C1203" s="30"/>
      <c r="D1203" s="31"/>
      <c r="E1203" s="35"/>
      <c r="F1203" s="130"/>
      <c r="G1203" s="14"/>
      <c r="H1203" s="14"/>
      <c r="I1203" s="14"/>
      <c r="J1203" s="14"/>
      <c r="K1203" s="14"/>
      <c r="L1203" s="14"/>
      <c r="M1203" s="14"/>
    </row>
    <row r="1204" spans="2:13" s="7" customFormat="1" ht="13.5">
      <c r="B1204" s="30"/>
      <c r="C1204" s="30"/>
      <c r="D1204" s="31"/>
      <c r="E1204" s="35"/>
      <c r="F1204" s="130"/>
      <c r="G1204" s="14"/>
      <c r="H1204" s="14"/>
      <c r="I1204" s="14"/>
      <c r="J1204" s="14"/>
      <c r="K1204" s="14"/>
      <c r="L1204" s="14"/>
      <c r="M1204" s="14"/>
    </row>
    <row r="1205" spans="2:13" s="7" customFormat="1" ht="13.5">
      <c r="B1205" s="30"/>
      <c r="C1205" s="30"/>
      <c r="D1205" s="31"/>
      <c r="E1205" s="35"/>
      <c r="F1205" s="130"/>
      <c r="G1205" s="14"/>
      <c r="H1205" s="14"/>
      <c r="I1205" s="14"/>
      <c r="J1205" s="14"/>
      <c r="K1205" s="14"/>
      <c r="L1205" s="14"/>
      <c r="M1205" s="14"/>
    </row>
    <row r="1206" spans="2:13" s="7" customFormat="1" ht="13.5">
      <c r="B1206" s="30"/>
      <c r="C1206" s="30"/>
      <c r="D1206" s="31"/>
      <c r="E1206" s="35"/>
      <c r="F1206" s="130"/>
      <c r="G1206" s="14"/>
      <c r="H1206" s="14"/>
      <c r="I1206" s="14"/>
      <c r="J1206" s="14"/>
      <c r="K1206" s="14"/>
      <c r="L1206" s="14"/>
      <c r="M1206" s="14"/>
    </row>
    <row r="1207" spans="2:13" s="7" customFormat="1" ht="13.5">
      <c r="B1207" s="30"/>
      <c r="C1207" s="30"/>
      <c r="D1207" s="31"/>
      <c r="E1207" s="35"/>
      <c r="F1207" s="130"/>
      <c r="G1207" s="14"/>
      <c r="H1207" s="14"/>
      <c r="I1207" s="14"/>
      <c r="J1207" s="14"/>
      <c r="K1207" s="14"/>
      <c r="L1207" s="14"/>
      <c r="M1207" s="14"/>
    </row>
    <row r="1208" spans="2:13" s="7" customFormat="1" ht="13.5">
      <c r="B1208" s="30"/>
      <c r="C1208" s="30"/>
      <c r="D1208" s="31"/>
      <c r="E1208" s="35"/>
      <c r="F1208" s="130"/>
      <c r="G1208" s="14"/>
      <c r="H1208" s="14"/>
      <c r="I1208" s="14"/>
      <c r="J1208" s="14"/>
      <c r="K1208" s="14"/>
      <c r="L1208" s="14"/>
      <c r="M1208" s="14"/>
    </row>
    <row r="1209" spans="2:13" s="7" customFormat="1" ht="13.5">
      <c r="B1209" s="30"/>
      <c r="C1209" s="30"/>
      <c r="D1209" s="31"/>
      <c r="E1209" s="35"/>
      <c r="F1209" s="130"/>
      <c r="G1209" s="14"/>
      <c r="H1209" s="14"/>
      <c r="I1209" s="14"/>
      <c r="J1209" s="14"/>
      <c r="K1209" s="14"/>
      <c r="L1209" s="14"/>
      <c r="M1209" s="14"/>
    </row>
    <row r="1210" spans="2:13" s="7" customFormat="1" ht="13.5">
      <c r="B1210" s="30"/>
      <c r="C1210" s="30"/>
      <c r="D1210" s="31"/>
      <c r="E1210" s="35"/>
      <c r="F1210" s="130"/>
      <c r="G1210" s="14"/>
      <c r="H1210" s="14"/>
      <c r="I1210" s="14"/>
      <c r="J1210" s="14"/>
      <c r="K1210" s="14"/>
      <c r="L1210" s="14"/>
      <c r="M1210" s="14"/>
    </row>
    <row r="1211" spans="2:13" s="7" customFormat="1" ht="13.5">
      <c r="B1211" s="30"/>
      <c r="C1211" s="30"/>
      <c r="D1211" s="31"/>
      <c r="E1211" s="35"/>
      <c r="F1211" s="130"/>
      <c r="G1211" s="14"/>
      <c r="H1211" s="14"/>
      <c r="I1211" s="14"/>
      <c r="J1211" s="14"/>
      <c r="K1211" s="14"/>
      <c r="L1211" s="14"/>
      <c r="M1211" s="14"/>
    </row>
    <row r="1212" spans="2:13" s="7" customFormat="1" ht="13.5">
      <c r="B1212" s="30"/>
      <c r="C1212" s="30"/>
      <c r="D1212" s="31"/>
      <c r="E1212" s="35"/>
      <c r="F1212" s="130"/>
      <c r="G1212" s="14"/>
      <c r="H1212" s="14"/>
      <c r="I1212" s="14"/>
      <c r="J1212" s="14"/>
      <c r="K1212" s="14"/>
      <c r="L1212" s="14"/>
      <c r="M1212" s="14"/>
    </row>
    <row r="1213" spans="2:13" s="7" customFormat="1" ht="13.5">
      <c r="B1213" s="30"/>
      <c r="C1213" s="30"/>
      <c r="D1213" s="31"/>
      <c r="E1213" s="35"/>
      <c r="F1213" s="130"/>
      <c r="G1213" s="14"/>
      <c r="H1213" s="14"/>
      <c r="I1213" s="14"/>
      <c r="J1213" s="14"/>
      <c r="K1213" s="14"/>
      <c r="L1213" s="14"/>
      <c r="M1213" s="14"/>
    </row>
    <row r="1214" spans="2:13" s="7" customFormat="1" ht="13.5">
      <c r="B1214" s="30"/>
      <c r="C1214" s="30"/>
      <c r="D1214" s="31"/>
      <c r="E1214" s="35"/>
      <c r="F1214" s="130"/>
      <c r="G1214" s="14"/>
      <c r="H1214" s="14"/>
      <c r="I1214" s="14"/>
      <c r="J1214" s="14"/>
      <c r="K1214" s="14"/>
      <c r="L1214" s="14"/>
      <c r="M1214" s="14"/>
    </row>
    <row r="1215" spans="2:13" s="7" customFormat="1" ht="13.5">
      <c r="B1215" s="30"/>
      <c r="C1215" s="30"/>
      <c r="D1215" s="31"/>
      <c r="E1215" s="35"/>
      <c r="F1215" s="130"/>
      <c r="G1215" s="14"/>
      <c r="H1215" s="14"/>
      <c r="I1215" s="14"/>
      <c r="J1215" s="14"/>
      <c r="K1215" s="14"/>
      <c r="L1215" s="14"/>
      <c r="M1215" s="14"/>
    </row>
    <row r="1216" spans="2:13" s="7" customFormat="1" ht="13.5">
      <c r="B1216" s="30"/>
      <c r="C1216" s="30"/>
      <c r="D1216" s="31"/>
      <c r="E1216" s="35"/>
      <c r="F1216" s="130"/>
      <c r="G1216" s="14"/>
      <c r="H1216" s="14"/>
      <c r="I1216" s="14"/>
      <c r="J1216" s="14"/>
      <c r="K1216" s="14"/>
      <c r="L1216" s="14"/>
      <c r="M1216" s="14"/>
    </row>
    <row r="1217" spans="2:13" s="7" customFormat="1" ht="13.5">
      <c r="B1217" s="30"/>
      <c r="C1217" s="30"/>
      <c r="D1217" s="31"/>
      <c r="E1217" s="35"/>
      <c r="F1217" s="130"/>
      <c r="G1217" s="14"/>
      <c r="H1217" s="14"/>
      <c r="I1217" s="14"/>
      <c r="J1217" s="14"/>
      <c r="K1217" s="14"/>
      <c r="L1217" s="14"/>
      <c r="M1217" s="14"/>
    </row>
    <row r="1218" spans="2:13" s="7" customFormat="1" ht="13.5">
      <c r="B1218" s="30"/>
      <c r="C1218" s="30"/>
      <c r="D1218" s="31"/>
      <c r="E1218" s="35"/>
      <c r="F1218" s="130"/>
      <c r="G1218" s="14"/>
      <c r="H1218" s="14"/>
      <c r="I1218" s="14"/>
      <c r="J1218" s="14"/>
      <c r="K1218" s="14"/>
      <c r="L1218" s="14"/>
      <c r="M1218" s="14"/>
    </row>
    <row r="1219" spans="2:13" s="7" customFormat="1" ht="13.5">
      <c r="B1219" s="30"/>
      <c r="C1219" s="30"/>
      <c r="D1219" s="31"/>
      <c r="E1219" s="35"/>
      <c r="F1219" s="130"/>
      <c r="G1219" s="14"/>
      <c r="H1219" s="14"/>
      <c r="I1219" s="14"/>
      <c r="J1219" s="14"/>
      <c r="K1219" s="14"/>
      <c r="L1219" s="14"/>
      <c r="M1219" s="14"/>
    </row>
    <row r="1220" spans="2:13" s="7" customFormat="1" ht="13.5">
      <c r="B1220" s="30"/>
      <c r="C1220" s="30"/>
      <c r="D1220" s="31"/>
      <c r="E1220" s="35"/>
      <c r="F1220" s="130"/>
      <c r="G1220" s="14"/>
      <c r="H1220" s="14"/>
      <c r="I1220" s="14"/>
      <c r="J1220" s="14"/>
      <c r="K1220" s="14"/>
      <c r="L1220" s="14"/>
      <c r="M1220" s="14"/>
    </row>
    <row r="1221" spans="2:13" s="7" customFormat="1" ht="13.5">
      <c r="B1221" s="30"/>
      <c r="C1221" s="30"/>
      <c r="D1221" s="31"/>
      <c r="E1221" s="35"/>
      <c r="F1221" s="130"/>
      <c r="G1221" s="14"/>
      <c r="H1221" s="14"/>
      <c r="I1221" s="14"/>
      <c r="J1221" s="14"/>
      <c r="K1221" s="14"/>
      <c r="L1221" s="14"/>
      <c r="M1221" s="14"/>
    </row>
    <row r="1222" spans="2:13" s="7" customFormat="1" ht="13.5">
      <c r="B1222" s="30"/>
      <c r="C1222" s="30"/>
      <c r="D1222" s="31"/>
      <c r="E1222" s="35"/>
      <c r="F1222" s="130"/>
      <c r="G1222" s="14"/>
      <c r="H1222" s="14"/>
      <c r="I1222" s="14"/>
      <c r="J1222" s="14"/>
      <c r="K1222" s="14"/>
      <c r="L1222" s="14"/>
      <c r="M1222" s="14"/>
    </row>
    <row r="1223" spans="2:13" s="7" customFormat="1" ht="13.5">
      <c r="B1223" s="30"/>
      <c r="C1223" s="30"/>
      <c r="D1223" s="31"/>
      <c r="E1223" s="35"/>
      <c r="F1223" s="130"/>
      <c r="G1223" s="14"/>
      <c r="H1223" s="14"/>
      <c r="I1223" s="14"/>
      <c r="J1223" s="14"/>
      <c r="K1223" s="14"/>
      <c r="L1223" s="14"/>
      <c r="M1223" s="14"/>
    </row>
    <row r="1224" spans="2:13" s="7" customFormat="1" ht="13.5">
      <c r="B1224" s="30"/>
      <c r="C1224" s="30"/>
      <c r="D1224" s="31"/>
      <c r="E1224" s="35"/>
      <c r="F1224" s="130"/>
      <c r="G1224" s="14"/>
      <c r="H1224" s="14"/>
      <c r="I1224" s="14"/>
      <c r="J1224" s="14"/>
      <c r="K1224" s="14"/>
      <c r="L1224" s="14"/>
      <c r="M1224" s="14"/>
    </row>
    <row r="1225" spans="2:13" s="7" customFormat="1" ht="13.5">
      <c r="B1225" s="30"/>
      <c r="C1225" s="30"/>
      <c r="D1225" s="31"/>
      <c r="E1225" s="35"/>
      <c r="F1225" s="130"/>
      <c r="G1225" s="14"/>
      <c r="H1225" s="14"/>
      <c r="I1225" s="14"/>
      <c r="J1225" s="14"/>
      <c r="K1225" s="14"/>
      <c r="L1225" s="14"/>
      <c r="M1225" s="14"/>
    </row>
    <row r="1226" spans="2:13" s="7" customFormat="1" ht="13.5">
      <c r="B1226" s="30"/>
      <c r="C1226" s="30"/>
      <c r="D1226" s="31"/>
      <c r="E1226" s="35"/>
      <c r="F1226" s="130"/>
      <c r="G1226" s="14"/>
      <c r="H1226" s="14"/>
      <c r="I1226" s="14"/>
      <c r="J1226" s="14"/>
      <c r="K1226" s="14"/>
      <c r="L1226" s="14"/>
      <c r="M1226" s="14"/>
    </row>
    <row r="1227" spans="2:13" s="7" customFormat="1" ht="13.5">
      <c r="B1227" s="30"/>
      <c r="C1227" s="30"/>
      <c r="D1227" s="31"/>
      <c r="E1227" s="35"/>
      <c r="F1227" s="130"/>
      <c r="G1227" s="14"/>
      <c r="H1227" s="14"/>
      <c r="I1227" s="14"/>
      <c r="J1227" s="14"/>
      <c r="K1227" s="14"/>
      <c r="L1227" s="14"/>
      <c r="M1227" s="14"/>
    </row>
    <row r="1228" spans="2:13" s="7" customFormat="1" ht="13.5">
      <c r="B1228" s="30"/>
      <c r="C1228" s="30"/>
      <c r="D1228" s="31"/>
      <c r="E1228" s="35"/>
      <c r="F1228" s="130"/>
      <c r="G1228" s="14"/>
      <c r="H1228" s="14"/>
      <c r="I1228" s="14"/>
      <c r="J1228" s="14"/>
      <c r="K1228" s="14"/>
      <c r="L1228" s="14"/>
      <c r="M1228" s="14"/>
    </row>
    <row r="1229" spans="2:13" s="7" customFormat="1" ht="13.5">
      <c r="B1229" s="30"/>
      <c r="C1229" s="30"/>
      <c r="D1229" s="31"/>
      <c r="E1229" s="35"/>
      <c r="F1229" s="130"/>
      <c r="G1229" s="14"/>
      <c r="H1229" s="14"/>
      <c r="I1229" s="14"/>
      <c r="J1229" s="14"/>
      <c r="K1229" s="14"/>
      <c r="L1229" s="14"/>
      <c r="M1229" s="14"/>
    </row>
    <row r="1230" spans="2:13" s="7" customFormat="1" ht="13.5">
      <c r="B1230" s="30"/>
      <c r="C1230" s="30"/>
      <c r="D1230" s="31"/>
      <c r="E1230" s="35"/>
      <c r="F1230" s="130"/>
      <c r="G1230" s="14"/>
      <c r="H1230" s="14"/>
      <c r="I1230" s="14"/>
      <c r="J1230" s="14"/>
      <c r="K1230" s="14"/>
      <c r="L1230" s="14"/>
      <c r="M1230" s="14"/>
    </row>
    <row r="1231" spans="2:13" s="7" customFormat="1" ht="13.5">
      <c r="B1231" s="30"/>
      <c r="C1231" s="30"/>
      <c r="D1231" s="31"/>
      <c r="E1231" s="35"/>
      <c r="F1231" s="130"/>
      <c r="G1231" s="14"/>
      <c r="H1231" s="14"/>
      <c r="I1231" s="14"/>
      <c r="J1231" s="14"/>
      <c r="K1231" s="14"/>
      <c r="L1231" s="14"/>
      <c r="M1231" s="14"/>
    </row>
    <row r="1232" spans="2:13" s="7" customFormat="1" ht="13.5">
      <c r="B1232" s="30"/>
      <c r="C1232" s="30"/>
      <c r="D1232" s="31"/>
      <c r="E1232" s="35"/>
      <c r="F1232" s="130"/>
      <c r="G1232" s="14"/>
      <c r="H1232" s="14"/>
      <c r="I1232" s="14"/>
      <c r="J1232" s="14"/>
      <c r="K1232" s="14"/>
      <c r="L1232" s="14"/>
      <c r="M1232" s="14"/>
    </row>
    <row r="1233" spans="2:13" s="7" customFormat="1" ht="13.5">
      <c r="B1233" s="30"/>
      <c r="C1233" s="30"/>
      <c r="D1233" s="31"/>
      <c r="E1233" s="35"/>
      <c r="F1233" s="130"/>
      <c r="G1233" s="14"/>
      <c r="H1233" s="14"/>
      <c r="I1233" s="14"/>
      <c r="J1233" s="14"/>
      <c r="K1233" s="14"/>
      <c r="L1233" s="14"/>
      <c r="M1233" s="14"/>
    </row>
    <row r="1234" spans="2:13" s="7" customFormat="1" ht="13.5">
      <c r="B1234" s="30"/>
      <c r="C1234" s="30"/>
      <c r="D1234" s="31"/>
      <c r="E1234" s="35"/>
      <c r="F1234" s="130"/>
      <c r="G1234" s="14"/>
      <c r="H1234" s="14"/>
      <c r="I1234" s="14"/>
      <c r="J1234" s="14"/>
      <c r="K1234" s="14"/>
      <c r="L1234" s="14"/>
      <c r="M1234" s="14"/>
    </row>
    <row r="1235" spans="2:13" s="7" customFormat="1" ht="13.5">
      <c r="B1235" s="30"/>
      <c r="C1235" s="30"/>
      <c r="D1235" s="31"/>
      <c r="E1235" s="35"/>
      <c r="F1235" s="130"/>
      <c r="G1235" s="14"/>
      <c r="H1235" s="14"/>
      <c r="I1235" s="14"/>
      <c r="J1235" s="14"/>
      <c r="K1235" s="14"/>
      <c r="L1235" s="14"/>
      <c r="M1235" s="14"/>
    </row>
    <row r="1236" spans="2:13" s="7" customFormat="1" ht="13.5">
      <c r="B1236" s="30"/>
      <c r="C1236" s="30"/>
      <c r="D1236" s="31"/>
      <c r="E1236" s="35"/>
      <c r="F1236" s="130"/>
      <c r="G1236" s="14"/>
      <c r="H1236" s="14"/>
      <c r="I1236" s="14"/>
      <c r="J1236" s="14"/>
      <c r="K1236" s="14"/>
      <c r="L1236" s="14"/>
      <c r="M1236" s="14"/>
    </row>
    <row r="1237" spans="2:13" s="7" customFormat="1" ht="13.5">
      <c r="B1237" s="30"/>
      <c r="C1237" s="30"/>
      <c r="D1237" s="31"/>
      <c r="E1237" s="35"/>
      <c r="F1237" s="130"/>
      <c r="G1237" s="14"/>
      <c r="H1237" s="14"/>
      <c r="I1237" s="14"/>
      <c r="J1237" s="14"/>
      <c r="K1237" s="14"/>
      <c r="L1237" s="14"/>
      <c r="M1237" s="14"/>
    </row>
    <row r="1238" spans="2:13" s="7" customFormat="1" ht="13.5">
      <c r="B1238" s="30"/>
      <c r="C1238" s="30"/>
      <c r="D1238" s="31"/>
      <c r="E1238" s="35"/>
      <c r="F1238" s="130"/>
      <c r="G1238" s="14"/>
      <c r="H1238" s="14"/>
      <c r="I1238" s="14"/>
      <c r="J1238" s="14"/>
      <c r="K1238" s="14"/>
      <c r="L1238" s="14"/>
      <c r="M1238" s="14"/>
    </row>
    <row r="1239" spans="2:13" s="7" customFormat="1" ht="13.5">
      <c r="B1239" s="30"/>
      <c r="C1239" s="30"/>
      <c r="D1239" s="31"/>
      <c r="E1239" s="35"/>
      <c r="F1239" s="130"/>
      <c r="G1239" s="14"/>
      <c r="H1239" s="14"/>
      <c r="I1239" s="14"/>
      <c r="J1239" s="14"/>
      <c r="K1239" s="14"/>
      <c r="L1239" s="14"/>
      <c r="M1239" s="14"/>
    </row>
    <row r="1240" spans="2:13" s="7" customFormat="1" ht="13.5">
      <c r="B1240" s="30"/>
      <c r="C1240" s="30"/>
      <c r="D1240" s="31"/>
      <c r="E1240" s="35"/>
      <c r="F1240" s="130"/>
      <c r="G1240" s="14"/>
      <c r="H1240" s="14"/>
      <c r="I1240" s="14"/>
      <c r="J1240" s="14"/>
      <c r="K1240" s="14"/>
      <c r="L1240" s="14"/>
      <c r="M1240" s="14"/>
    </row>
    <row r="1241" spans="2:13" s="7" customFormat="1" ht="13.5">
      <c r="B1241" s="30"/>
      <c r="C1241" s="30"/>
      <c r="D1241" s="31"/>
      <c r="E1241" s="35"/>
      <c r="F1241" s="130"/>
      <c r="G1241" s="14"/>
      <c r="H1241" s="14"/>
      <c r="I1241" s="14"/>
      <c r="J1241" s="14"/>
      <c r="K1241" s="14"/>
      <c r="L1241" s="14"/>
      <c r="M1241" s="14"/>
    </row>
    <row r="1242" spans="2:13" s="7" customFormat="1" ht="13.5">
      <c r="B1242" s="30"/>
      <c r="C1242" s="30"/>
      <c r="D1242" s="31"/>
      <c r="E1242" s="35"/>
      <c r="F1242" s="130"/>
      <c r="G1242" s="14"/>
      <c r="H1242" s="14"/>
      <c r="I1242" s="14"/>
      <c r="J1242" s="14"/>
      <c r="K1242" s="14"/>
      <c r="L1242" s="14"/>
      <c r="M1242" s="14"/>
    </row>
    <row r="1243" spans="2:13" s="7" customFormat="1" ht="13.5">
      <c r="B1243" s="30"/>
      <c r="C1243" s="30"/>
      <c r="D1243" s="31"/>
      <c r="E1243" s="35"/>
      <c r="F1243" s="130"/>
      <c r="G1243" s="14"/>
      <c r="H1243" s="14"/>
      <c r="I1243" s="14"/>
      <c r="J1243" s="14"/>
      <c r="K1243" s="14"/>
      <c r="L1243" s="14"/>
      <c r="M1243" s="14"/>
    </row>
    <row r="1244" spans="2:13" s="7" customFormat="1" ht="13.5">
      <c r="B1244" s="30"/>
      <c r="C1244" s="30"/>
      <c r="D1244" s="31"/>
      <c r="E1244" s="35"/>
      <c r="F1244" s="130"/>
      <c r="G1244" s="14"/>
      <c r="H1244" s="14"/>
      <c r="I1244" s="14"/>
      <c r="J1244" s="14"/>
      <c r="K1244" s="14"/>
      <c r="L1244" s="14"/>
      <c r="M1244" s="14"/>
    </row>
    <row r="1245" spans="2:13" s="7" customFormat="1" ht="13.5">
      <c r="B1245" s="30"/>
      <c r="C1245" s="30"/>
      <c r="D1245" s="31"/>
      <c r="E1245" s="35"/>
      <c r="F1245" s="130"/>
      <c r="G1245" s="14"/>
      <c r="H1245" s="14"/>
      <c r="I1245" s="14"/>
      <c r="J1245" s="14"/>
      <c r="K1245" s="14"/>
      <c r="L1245" s="14"/>
      <c r="M1245" s="14"/>
    </row>
    <row r="1246" spans="2:13" s="7" customFormat="1" ht="13.5">
      <c r="B1246" s="30"/>
      <c r="C1246" s="30"/>
      <c r="D1246" s="31"/>
      <c r="E1246" s="35"/>
      <c r="F1246" s="130"/>
      <c r="G1246" s="14"/>
      <c r="H1246" s="14"/>
      <c r="I1246" s="14"/>
      <c r="J1246" s="14"/>
      <c r="K1246" s="14"/>
      <c r="L1246" s="14"/>
      <c r="M1246" s="14"/>
    </row>
    <row r="1247" spans="2:13" s="7" customFormat="1" ht="13.5">
      <c r="B1247" s="30"/>
      <c r="C1247" s="30"/>
      <c r="D1247" s="31"/>
      <c r="E1247" s="35"/>
      <c r="F1247" s="130"/>
      <c r="G1247" s="14"/>
      <c r="H1247" s="14"/>
      <c r="I1247" s="14"/>
      <c r="J1247" s="14"/>
      <c r="K1247" s="14"/>
      <c r="L1247" s="14"/>
      <c r="M1247" s="14"/>
    </row>
    <row r="1248" spans="2:13" s="7" customFormat="1" ht="13.5">
      <c r="B1248" s="30"/>
      <c r="C1248" s="30"/>
      <c r="D1248" s="31"/>
      <c r="E1248" s="35"/>
      <c r="F1248" s="130"/>
      <c r="G1248" s="14"/>
      <c r="H1248" s="14"/>
      <c r="I1248" s="14"/>
      <c r="J1248" s="14"/>
      <c r="K1248" s="14"/>
      <c r="L1248" s="14"/>
      <c r="M1248" s="14"/>
    </row>
    <row r="1249" spans="2:13" s="7" customFormat="1" ht="13.5">
      <c r="B1249" s="30"/>
      <c r="C1249" s="30"/>
      <c r="D1249" s="31"/>
      <c r="E1249" s="35"/>
      <c r="F1249" s="130"/>
      <c r="G1249" s="14"/>
      <c r="H1249" s="14"/>
      <c r="I1249" s="14"/>
      <c r="J1249" s="14"/>
      <c r="K1249" s="14"/>
      <c r="L1249" s="14"/>
      <c r="M1249" s="14"/>
    </row>
    <row r="1250" spans="2:13" s="7" customFormat="1" ht="13.5">
      <c r="B1250" s="30"/>
      <c r="C1250" s="30"/>
      <c r="D1250" s="31"/>
      <c r="E1250" s="35"/>
      <c r="F1250" s="130"/>
      <c r="G1250" s="14"/>
      <c r="H1250" s="14"/>
      <c r="I1250" s="14"/>
      <c r="J1250" s="14"/>
      <c r="K1250" s="14"/>
      <c r="L1250" s="14"/>
      <c r="M1250" s="14"/>
    </row>
    <row r="1251" spans="2:13" s="7" customFormat="1" ht="13.5">
      <c r="B1251" s="30"/>
      <c r="C1251" s="30"/>
      <c r="D1251" s="31"/>
      <c r="E1251" s="35"/>
      <c r="F1251" s="130"/>
      <c r="G1251" s="14"/>
      <c r="H1251" s="14"/>
      <c r="I1251" s="14"/>
      <c r="J1251" s="14"/>
      <c r="K1251" s="14"/>
      <c r="L1251" s="14"/>
      <c r="M1251" s="14"/>
    </row>
    <row r="1252" spans="2:13" s="7" customFormat="1" ht="13.5">
      <c r="B1252" s="30"/>
      <c r="C1252" s="30"/>
      <c r="D1252" s="31"/>
      <c r="E1252" s="35"/>
      <c r="F1252" s="130"/>
      <c r="G1252" s="14"/>
      <c r="H1252" s="14"/>
      <c r="I1252" s="14"/>
      <c r="J1252" s="14"/>
      <c r="K1252" s="14"/>
      <c r="L1252" s="14"/>
      <c r="M1252" s="14"/>
    </row>
    <row r="1253" spans="2:13" s="7" customFormat="1" ht="13.5">
      <c r="B1253" s="30"/>
      <c r="C1253" s="30"/>
      <c r="D1253" s="31"/>
      <c r="E1253" s="35"/>
      <c r="F1253" s="130"/>
      <c r="G1253" s="14"/>
      <c r="H1253" s="14"/>
      <c r="I1253" s="14"/>
      <c r="J1253" s="14"/>
      <c r="K1253" s="14"/>
      <c r="L1253" s="14"/>
      <c r="M1253" s="14"/>
    </row>
    <row r="1254" spans="2:13" s="7" customFormat="1" ht="13.5">
      <c r="B1254" s="30"/>
      <c r="C1254" s="30"/>
      <c r="D1254" s="31"/>
      <c r="E1254" s="35"/>
      <c r="F1254" s="130"/>
      <c r="G1254" s="14"/>
      <c r="H1254" s="14"/>
      <c r="I1254" s="14"/>
      <c r="J1254" s="14"/>
      <c r="K1254" s="14"/>
      <c r="L1254" s="14"/>
      <c r="M1254" s="14"/>
    </row>
    <row r="1255" spans="2:13" s="7" customFormat="1" ht="13.5">
      <c r="B1255" s="30"/>
      <c r="C1255" s="30"/>
      <c r="D1255" s="31"/>
      <c r="E1255" s="35"/>
      <c r="F1255" s="130"/>
      <c r="G1255" s="14"/>
      <c r="H1255" s="14"/>
      <c r="I1255" s="14"/>
      <c r="J1255" s="14"/>
      <c r="K1255" s="14"/>
      <c r="L1255" s="14"/>
      <c r="M1255" s="14"/>
    </row>
    <row r="1256" spans="2:13" s="7" customFormat="1" ht="13.5">
      <c r="B1256" s="30"/>
      <c r="C1256" s="30"/>
      <c r="D1256" s="31"/>
      <c r="E1256" s="35"/>
      <c r="F1256" s="130"/>
      <c r="G1256" s="14"/>
      <c r="H1256" s="14"/>
      <c r="I1256" s="14"/>
      <c r="J1256" s="14"/>
      <c r="K1256" s="14"/>
      <c r="L1256" s="14"/>
      <c r="M1256" s="14"/>
    </row>
    <row r="1257" spans="2:13" s="7" customFormat="1" ht="13.5">
      <c r="B1257" s="30"/>
      <c r="C1257" s="30"/>
      <c r="D1257" s="31"/>
      <c r="E1257" s="35"/>
      <c r="F1257" s="130"/>
      <c r="G1257" s="14"/>
      <c r="H1257" s="14"/>
      <c r="I1257" s="14"/>
      <c r="J1257" s="14"/>
      <c r="K1257" s="14"/>
      <c r="L1257" s="14"/>
      <c r="M1257" s="14"/>
    </row>
    <row r="1258" spans="2:13" s="7" customFormat="1" ht="13.5">
      <c r="B1258" s="30"/>
      <c r="C1258" s="30"/>
      <c r="D1258" s="31"/>
      <c r="E1258" s="35"/>
      <c r="F1258" s="130"/>
      <c r="G1258" s="14"/>
      <c r="H1258" s="14"/>
      <c r="I1258" s="14"/>
      <c r="J1258" s="14"/>
      <c r="K1258" s="14"/>
      <c r="L1258" s="14"/>
      <c r="M1258" s="14"/>
    </row>
    <row r="1259" spans="2:13" s="7" customFormat="1" ht="13.5">
      <c r="B1259" s="30"/>
      <c r="C1259" s="30"/>
      <c r="D1259" s="31"/>
      <c r="E1259" s="35"/>
      <c r="F1259" s="130"/>
      <c r="G1259" s="14"/>
      <c r="H1259" s="14"/>
      <c r="I1259" s="14"/>
      <c r="J1259" s="14"/>
      <c r="K1259" s="14"/>
      <c r="L1259" s="14"/>
      <c r="M1259" s="14"/>
    </row>
    <row r="1260" spans="2:13" s="7" customFormat="1" ht="13.5">
      <c r="B1260" s="30"/>
      <c r="C1260" s="30"/>
      <c r="D1260" s="31"/>
      <c r="E1260" s="35"/>
      <c r="F1260" s="130"/>
      <c r="G1260" s="14"/>
      <c r="H1260" s="14"/>
      <c r="I1260" s="14"/>
      <c r="J1260" s="14"/>
      <c r="K1260" s="14"/>
      <c r="L1260" s="14"/>
      <c r="M1260" s="14"/>
    </row>
    <row r="1261" spans="2:13" s="7" customFormat="1" ht="13.5">
      <c r="B1261" s="30"/>
      <c r="C1261" s="30"/>
      <c r="D1261" s="31"/>
      <c r="E1261" s="35"/>
      <c r="F1261" s="130"/>
      <c r="G1261" s="14"/>
      <c r="H1261" s="14"/>
      <c r="I1261" s="14"/>
      <c r="J1261" s="14"/>
      <c r="K1261" s="14"/>
      <c r="L1261" s="14"/>
      <c r="M1261" s="14"/>
    </row>
    <row r="1262" spans="2:13" s="7" customFormat="1" ht="13.5">
      <c r="B1262" s="30"/>
      <c r="C1262" s="30"/>
      <c r="D1262" s="31"/>
      <c r="E1262" s="35"/>
      <c r="F1262" s="130"/>
      <c r="G1262" s="14"/>
      <c r="H1262" s="14"/>
      <c r="I1262" s="14"/>
      <c r="J1262" s="14"/>
      <c r="K1262" s="14"/>
      <c r="L1262" s="14"/>
      <c r="M1262" s="14"/>
    </row>
    <row r="1263" spans="2:13" s="7" customFormat="1" ht="13.5">
      <c r="B1263" s="30"/>
      <c r="C1263" s="30"/>
      <c r="D1263" s="31"/>
      <c r="E1263" s="35"/>
      <c r="F1263" s="130"/>
      <c r="G1263" s="14"/>
      <c r="H1263" s="14"/>
      <c r="I1263" s="14"/>
      <c r="J1263" s="14"/>
      <c r="K1263" s="14"/>
      <c r="L1263" s="14"/>
      <c r="M1263" s="14"/>
    </row>
    <row r="1264" spans="2:13" s="7" customFormat="1" ht="13.5">
      <c r="B1264" s="30"/>
      <c r="C1264" s="30"/>
      <c r="D1264" s="31"/>
      <c r="E1264" s="35"/>
      <c r="F1264" s="130"/>
      <c r="G1264" s="14"/>
      <c r="H1264" s="14"/>
      <c r="I1264" s="14"/>
      <c r="J1264" s="14"/>
      <c r="K1264" s="14"/>
      <c r="L1264" s="14"/>
      <c r="M1264" s="14"/>
    </row>
    <row r="1265" spans="2:13" s="7" customFormat="1" ht="13.5">
      <c r="B1265" s="30"/>
      <c r="C1265" s="30"/>
      <c r="D1265" s="31"/>
      <c r="E1265" s="35"/>
      <c r="F1265" s="130"/>
      <c r="G1265" s="14"/>
      <c r="H1265" s="14"/>
      <c r="I1265" s="14"/>
      <c r="J1265" s="14"/>
      <c r="K1265" s="14"/>
      <c r="L1265" s="14"/>
      <c r="M1265" s="14"/>
    </row>
    <row r="1266" spans="2:13" s="7" customFormat="1" ht="13.5">
      <c r="B1266" s="30"/>
      <c r="C1266" s="30"/>
      <c r="D1266" s="31"/>
      <c r="E1266" s="35"/>
      <c r="F1266" s="130"/>
      <c r="G1266" s="14"/>
      <c r="H1266" s="14"/>
      <c r="I1266" s="14"/>
      <c r="J1266" s="14"/>
      <c r="K1266" s="14"/>
      <c r="L1266" s="14"/>
      <c r="M1266" s="14"/>
    </row>
    <row r="1267" spans="2:13" s="7" customFormat="1" ht="13.5">
      <c r="B1267" s="30"/>
      <c r="C1267" s="30"/>
      <c r="D1267" s="31"/>
      <c r="E1267" s="35"/>
      <c r="F1267" s="130"/>
      <c r="G1267" s="14"/>
      <c r="H1267" s="14"/>
      <c r="I1267" s="14"/>
      <c r="J1267" s="14"/>
      <c r="K1267" s="14"/>
      <c r="L1267" s="14"/>
      <c r="M1267" s="14"/>
    </row>
    <row r="1268" spans="2:13" s="7" customFormat="1" ht="13.5">
      <c r="B1268" s="30"/>
      <c r="C1268" s="30"/>
      <c r="D1268" s="31"/>
      <c r="E1268" s="35"/>
      <c r="F1268" s="130"/>
      <c r="G1268" s="14"/>
      <c r="H1268" s="14"/>
      <c r="I1268" s="14"/>
      <c r="J1268" s="14"/>
      <c r="K1268" s="14"/>
      <c r="L1268" s="14"/>
      <c r="M1268" s="14"/>
    </row>
    <row r="1269" spans="2:13" s="7" customFormat="1" ht="13.5">
      <c r="B1269" s="30"/>
      <c r="C1269" s="30"/>
      <c r="D1269" s="31"/>
      <c r="E1269" s="35"/>
      <c r="F1269" s="130"/>
      <c r="G1269" s="14"/>
      <c r="H1269" s="14"/>
      <c r="I1269" s="14"/>
      <c r="J1269" s="14"/>
      <c r="K1269" s="14"/>
      <c r="L1269" s="14"/>
      <c r="M1269" s="14"/>
    </row>
    <row r="1270" spans="2:13" s="7" customFormat="1" ht="13.5">
      <c r="B1270" s="30"/>
      <c r="C1270" s="30"/>
      <c r="D1270" s="31"/>
      <c r="E1270" s="35"/>
      <c r="F1270" s="130"/>
      <c r="G1270" s="14"/>
      <c r="H1270" s="14"/>
      <c r="I1270" s="14"/>
      <c r="J1270" s="14"/>
      <c r="K1270" s="14"/>
      <c r="L1270" s="14"/>
      <c r="M1270" s="14"/>
    </row>
    <row r="1271" spans="2:13" s="7" customFormat="1" ht="13.5">
      <c r="B1271" s="30"/>
      <c r="C1271" s="30"/>
      <c r="D1271" s="31"/>
      <c r="E1271" s="35"/>
      <c r="F1271" s="130"/>
      <c r="G1271" s="14"/>
      <c r="H1271" s="14"/>
      <c r="I1271" s="14"/>
      <c r="J1271" s="14"/>
      <c r="K1271" s="14"/>
      <c r="L1271" s="14"/>
      <c r="M1271" s="14"/>
    </row>
    <row r="1272" spans="2:13" s="7" customFormat="1" ht="13.5">
      <c r="B1272" s="30"/>
      <c r="C1272" s="30"/>
      <c r="D1272" s="31"/>
      <c r="E1272" s="35"/>
      <c r="F1272" s="130"/>
      <c r="G1272" s="14"/>
      <c r="H1272" s="14"/>
      <c r="I1272" s="14"/>
      <c r="J1272" s="14"/>
      <c r="K1272" s="14"/>
      <c r="L1272" s="14"/>
      <c r="M1272" s="14"/>
    </row>
    <row r="1273" spans="2:13" s="7" customFormat="1" ht="13.5">
      <c r="B1273" s="30"/>
      <c r="C1273" s="30"/>
      <c r="D1273" s="31"/>
      <c r="E1273" s="35"/>
      <c r="F1273" s="130"/>
      <c r="G1273" s="14"/>
      <c r="H1273" s="14"/>
      <c r="I1273" s="14"/>
      <c r="J1273" s="14"/>
      <c r="K1273" s="14"/>
      <c r="L1273" s="14"/>
      <c r="M1273" s="14"/>
    </row>
    <row r="1274" spans="2:13" s="7" customFormat="1" ht="13.5">
      <c r="B1274" s="30"/>
      <c r="C1274" s="30"/>
      <c r="D1274" s="31"/>
      <c r="E1274" s="35"/>
      <c r="F1274" s="130"/>
      <c r="G1274" s="14"/>
      <c r="H1274" s="14"/>
      <c r="I1274" s="14"/>
      <c r="J1274" s="14"/>
      <c r="K1274" s="14"/>
      <c r="L1274" s="14"/>
      <c r="M1274" s="14"/>
    </row>
    <row r="1275" spans="2:13" s="7" customFormat="1" ht="13.5">
      <c r="B1275" s="30"/>
      <c r="C1275" s="30"/>
      <c r="D1275" s="31"/>
      <c r="E1275" s="35"/>
      <c r="F1275" s="130"/>
      <c r="G1275" s="14"/>
      <c r="H1275" s="14"/>
      <c r="I1275" s="14"/>
      <c r="J1275" s="14"/>
      <c r="K1275" s="14"/>
      <c r="L1275" s="14"/>
      <c r="M1275" s="14"/>
    </row>
    <row r="1276" spans="2:13" s="7" customFormat="1" ht="13.5">
      <c r="B1276" s="30"/>
      <c r="C1276" s="30"/>
      <c r="D1276" s="31"/>
      <c r="E1276" s="35"/>
      <c r="F1276" s="130"/>
      <c r="G1276" s="14"/>
      <c r="H1276" s="14"/>
      <c r="I1276" s="14"/>
      <c r="J1276" s="14"/>
      <c r="K1276" s="14"/>
      <c r="L1276" s="14"/>
      <c r="M1276" s="14"/>
    </row>
    <row r="1277" spans="2:13" s="7" customFormat="1" ht="13.5">
      <c r="B1277" s="30"/>
      <c r="C1277" s="30"/>
      <c r="D1277" s="31"/>
      <c r="E1277" s="35"/>
      <c r="F1277" s="130"/>
      <c r="G1277" s="14"/>
      <c r="H1277" s="14"/>
      <c r="I1277" s="14"/>
      <c r="J1277" s="14"/>
      <c r="K1277" s="14"/>
      <c r="L1277" s="14"/>
      <c r="M1277" s="14"/>
    </row>
    <row r="1278" spans="2:13" s="7" customFormat="1" ht="13.5">
      <c r="B1278" s="30"/>
      <c r="C1278" s="30"/>
      <c r="D1278" s="31"/>
      <c r="E1278" s="35"/>
      <c r="F1278" s="130"/>
      <c r="G1278" s="14"/>
      <c r="H1278" s="14"/>
      <c r="I1278" s="14"/>
      <c r="J1278" s="14"/>
      <c r="K1278" s="14"/>
      <c r="L1278" s="14"/>
      <c r="M1278" s="14"/>
    </row>
    <row r="1279" spans="2:13" s="7" customFormat="1" ht="13.5">
      <c r="B1279" s="30"/>
      <c r="C1279" s="30"/>
      <c r="D1279" s="31"/>
      <c r="E1279" s="35"/>
      <c r="F1279" s="130"/>
      <c r="G1279" s="14"/>
      <c r="H1279" s="14"/>
      <c r="I1279" s="14"/>
      <c r="J1279" s="14"/>
      <c r="K1279" s="14"/>
      <c r="L1279" s="14"/>
      <c r="M1279" s="14"/>
    </row>
    <row r="1280" spans="2:13" s="7" customFormat="1" ht="13.5">
      <c r="B1280" s="30"/>
      <c r="C1280" s="30"/>
      <c r="D1280" s="31"/>
      <c r="E1280" s="35"/>
      <c r="F1280" s="130"/>
      <c r="G1280" s="14"/>
      <c r="H1280" s="14"/>
      <c r="I1280" s="14"/>
      <c r="J1280" s="14"/>
      <c r="K1280" s="14"/>
      <c r="L1280" s="14"/>
      <c r="M1280" s="14"/>
    </row>
    <row r="1281" spans="2:13" s="7" customFormat="1" ht="13.5">
      <c r="B1281" s="30"/>
      <c r="C1281" s="30"/>
      <c r="D1281" s="31"/>
      <c r="E1281" s="35"/>
      <c r="F1281" s="130"/>
      <c r="G1281" s="14"/>
      <c r="H1281" s="14"/>
      <c r="I1281" s="14"/>
      <c r="J1281" s="14"/>
      <c r="K1281" s="14"/>
      <c r="L1281" s="14"/>
      <c r="M1281" s="14"/>
    </row>
    <row r="1282" spans="2:13" s="7" customFormat="1" ht="13.5">
      <c r="B1282" s="30"/>
      <c r="C1282" s="30"/>
      <c r="D1282" s="31"/>
      <c r="E1282" s="35"/>
      <c r="F1282" s="130"/>
      <c r="G1282" s="14"/>
      <c r="H1282" s="14"/>
      <c r="I1282" s="14"/>
      <c r="J1282" s="14"/>
      <c r="K1282" s="14"/>
      <c r="L1282" s="14"/>
      <c r="M1282" s="14"/>
    </row>
    <row r="1283" spans="2:13" s="7" customFormat="1" ht="13.5">
      <c r="B1283" s="30"/>
      <c r="C1283" s="30"/>
      <c r="D1283" s="31"/>
      <c r="E1283" s="35"/>
      <c r="F1283" s="130"/>
      <c r="G1283" s="14"/>
      <c r="H1283" s="14"/>
      <c r="I1283" s="14"/>
      <c r="J1283" s="14"/>
      <c r="K1283" s="14"/>
      <c r="L1283" s="14"/>
      <c r="M1283" s="14"/>
    </row>
    <row r="1284" spans="2:13" s="7" customFormat="1" ht="13.5">
      <c r="B1284" s="30"/>
      <c r="C1284" s="30"/>
      <c r="D1284" s="31"/>
      <c r="E1284" s="35"/>
      <c r="F1284" s="130"/>
      <c r="G1284" s="14"/>
      <c r="H1284" s="14"/>
      <c r="I1284" s="14"/>
      <c r="J1284" s="14"/>
      <c r="K1284" s="14"/>
      <c r="L1284" s="14"/>
      <c r="M1284" s="14"/>
    </row>
    <row r="1285" spans="2:13" s="7" customFormat="1" ht="13.5">
      <c r="B1285" s="30"/>
      <c r="C1285" s="30"/>
      <c r="D1285" s="31"/>
      <c r="E1285" s="35"/>
      <c r="F1285" s="130"/>
      <c r="G1285" s="14"/>
      <c r="H1285" s="14"/>
      <c r="I1285" s="14"/>
      <c r="J1285" s="14"/>
      <c r="K1285" s="14"/>
      <c r="L1285" s="14"/>
      <c r="M1285" s="14"/>
    </row>
    <row r="1286" spans="2:13" s="7" customFormat="1" ht="13.5">
      <c r="B1286" s="30"/>
      <c r="C1286" s="30"/>
      <c r="D1286" s="31"/>
      <c r="E1286" s="35"/>
      <c r="F1286" s="130"/>
      <c r="G1286" s="14"/>
      <c r="H1286" s="14"/>
      <c r="I1286" s="14"/>
      <c r="J1286" s="14"/>
      <c r="K1286" s="14"/>
      <c r="L1286" s="14"/>
      <c r="M1286" s="14"/>
    </row>
    <row r="1287" spans="2:13" s="7" customFormat="1" ht="13.5">
      <c r="B1287" s="30"/>
      <c r="C1287" s="30"/>
      <c r="D1287" s="31"/>
      <c r="E1287" s="35"/>
      <c r="F1287" s="130"/>
      <c r="G1287" s="14"/>
      <c r="H1287" s="14"/>
      <c r="I1287" s="14"/>
      <c r="J1287" s="14"/>
      <c r="K1287" s="14"/>
      <c r="L1287" s="14"/>
      <c r="M1287" s="14"/>
    </row>
    <row r="1288" spans="2:13" s="7" customFormat="1" ht="13.5">
      <c r="B1288" s="30"/>
      <c r="C1288" s="30"/>
      <c r="D1288" s="31"/>
      <c r="E1288" s="35"/>
      <c r="F1288" s="130"/>
      <c r="G1288" s="14"/>
      <c r="H1288" s="14"/>
      <c r="I1288" s="14"/>
      <c r="J1288" s="14"/>
      <c r="K1288" s="14"/>
      <c r="L1288" s="14"/>
      <c r="M1288" s="14"/>
    </row>
    <row r="1289" spans="2:13" s="7" customFormat="1" ht="13.5">
      <c r="B1289" s="30"/>
      <c r="C1289" s="30"/>
      <c r="D1289" s="31"/>
      <c r="E1289" s="35"/>
      <c r="F1289" s="130"/>
      <c r="G1289" s="14"/>
      <c r="H1289" s="14"/>
      <c r="I1289" s="14"/>
      <c r="J1289" s="14"/>
      <c r="K1289" s="14"/>
      <c r="L1289" s="14"/>
      <c r="M1289" s="14"/>
    </row>
    <row r="1290" spans="2:13" s="7" customFormat="1" ht="13.5">
      <c r="B1290" s="30"/>
      <c r="C1290" s="30"/>
      <c r="D1290" s="31"/>
      <c r="E1290" s="35"/>
      <c r="F1290" s="130"/>
      <c r="G1290" s="14"/>
      <c r="H1290" s="14"/>
      <c r="I1290" s="14"/>
      <c r="J1290" s="14"/>
      <c r="K1290" s="14"/>
      <c r="L1290" s="14"/>
      <c r="M1290" s="14"/>
    </row>
    <row r="1291" spans="2:13" s="7" customFormat="1" ht="13.5">
      <c r="B1291" s="30"/>
      <c r="C1291" s="30"/>
      <c r="D1291" s="31"/>
      <c r="E1291" s="35"/>
      <c r="F1291" s="130"/>
      <c r="G1291" s="14"/>
      <c r="H1291" s="14"/>
      <c r="I1291" s="14"/>
      <c r="J1291" s="14"/>
      <c r="K1291" s="14"/>
      <c r="L1291" s="14"/>
      <c r="M1291" s="14"/>
    </row>
    <row r="1292" spans="2:13" s="7" customFormat="1" ht="13.5">
      <c r="B1292" s="30"/>
      <c r="C1292" s="30"/>
      <c r="D1292" s="31"/>
      <c r="E1292" s="35"/>
      <c r="F1292" s="130"/>
      <c r="G1292" s="14"/>
      <c r="H1292" s="14"/>
      <c r="I1292" s="14"/>
      <c r="J1292" s="14"/>
      <c r="K1292" s="14"/>
      <c r="L1292" s="14"/>
      <c r="M1292" s="14"/>
    </row>
    <row r="1293" spans="2:13" s="7" customFormat="1" ht="13.5">
      <c r="B1293" s="30"/>
      <c r="C1293" s="30"/>
      <c r="D1293" s="31"/>
      <c r="E1293" s="35"/>
      <c r="F1293" s="130"/>
      <c r="G1293" s="14"/>
      <c r="H1293" s="14"/>
      <c r="I1293" s="14"/>
      <c r="J1293" s="14"/>
      <c r="K1293" s="14"/>
      <c r="L1293" s="14"/>
      <c r="M1293" s="14"/>
    </row>
    <row r="1294" spans="2:13" s="7" customFormat="1" ht="13.5">
      <c r="B1294" s="30"/>
      <c r="C1294" s="30"/>
      <c r="D1294" s="31"/>
      <c r="E1294" s="35"/>
      <c r="F1294" s="130"/>
      <c r="G1294" s="14"/>
      <c r="H1294" s="14"/>
      <c r="I1294" s="14"/>
      <c r="J1294" s="14"/>
      <c r="K1294" s="14"/>
      <c r="L1294" s="14"/>
      <c r="M1294" s="14"/>
    </row>
    <row r="1295" spans="2:13" s="7" customFormat="1" ht="13.5">
      <c r="B1295" s="30"/>
      <c r="C1295" s="30"/>
      <c r="D1295" s="31"/>
      <c r="E1295" s="35"/>
      <c r="F1295" s="130"/>
      <c r="G1295" s="14"/>
      <c r="H1295" s="14"/>
      <c r="I1295" s="14"/>
      <c r="J1295" s="14"/>
      <c r="K1295" s="14"/>
      <c r="L1295" s="14"/>
      <c r="M1295" s="14"/>
    </row>
    <row r="1296" spans="2:13" s="7" customFormat="1" ht="13.5">
      <c r="B1296" s="30"/>
      <c r="C1296" s="30"/>
      <c r="D1296" s="31"/>
      <c r="E1296" s="35"/>
      <c r="F1296" s="130"/>
      <c r="G1296" s="14"/>
      <c r="H1296" s="14"/>
      <c r="I1296" s="14"/>
      <c r="J1296" s="14"/>
      <c r="K1296" s="14"/>
      <c r="L1296" s="14"/>
      <c r="M1296" s="14"/>
    </row>
    <row r="1297" spans="2:13" s="7" customFormat="1" ht="13.5">
      <c r="B1297" s="30"/>
      <c r="C1297" s="30"/>
      <c r="D1297" s="31"/>
      <c r="E1297" s="35"/>
      <c r="F1297" s="130"/>
      <c r="G1297" s="14"/>
      <c r="H1297" s="14"/>
      <c r="I1297" s="14"/>
      <c r="J1297" s="14"/>
      <c r="K1297" s="14"/>
      <c r="L1297" s="14"/>
      <c r="M1297" s="14"/>
    </row>
    <row r="1298" spans="2:13" s="7" customFormat="1" ht="13.5">
      <c r="B1298" s="30"/>
      <c r="C1298" s="30"/>
      <c r="D1298" s="31"/>
      <c r="E1298" s="35"/>
      <c r="F1298" s="130"/>
      <c r="G1298" s="14"/>
      <c r="H1298" s="14"/>
      <c r="I1298" s="14"/>
      <c r="J1298" s="14"/>
      <c r="K1298" s="14"/>
      <c r="L1298" s="14"/>
      <c r="M1298" s="14"/>
    </row>
    <row r="1299" spans="2:13" s="7" customFormat="1" ht="13.5">
      <c r="B1299" s="30"/>
      <c r="C1299" s="30"/>
      <c r="D1299" s="31"/>
      <c r="E1299" s="35"/>
      <c r="F1299" s="130"/>
      <c r="G1299" s="14"/>
      <c r="H1299" s="14"/>
      <c r="I1299" s="14"/>
      <c r="J1299" s="14"/>
      <c r="K1299" s="14"/>
      <c r="L1299" s="14"/>
      <c r="M1299" s="14"/>
    </row>
    <row r="1300" spans="2:13" s="7" customFormat="1" ht="13.5">
      <c r="B1300" s="30"/>
      <c r="C1300" s="30"/>
      <c r="D1300" s="31"/>
      <c r="E1300" s="35"/>
      <c r="F1300" s="130"/>
      <c r="G1300" s="14"/>
      <c r="H1300" s="14"/>
      <c r="I1300" s="14"/>
      <c r="J1300" s="14"/>
      <c r="K1300" s="14"/>
      <c r="L1300" s="14"/>
      <c r="M1300" s="14"/>
    </row>
    <row r="1301" spans="2:13" s="7" customFormat="1" ht="13.5">
      <c r="B1301" s="30"/>
      <c r="C1301" s="30"/>
      <c r="D1301" s="31"/>
      <c r="E1301" s="35"/>
      <c r="F1301" s="130"/>
      <c r="G1301" s="14"/>
      <c r="H1301" s="14"/>
      <c r="I1301" s="14"/>
      <c r="J1301" s="14"/>
      <c r="K1301" s="14"/>
      <c r="L1301" s="14"/>
      <c r="M1301" s="14"/>
    </row>
    <row r="1302" spans="2:13" s="7" customFormat="1" ht="13.5">
      <c r="B1302" s="30"/>
      <c r="C1302" s="30"/>
      <c r="D1302" s="31"/>
      <c r="E1302" s="35"/>
      <c r="F1302" s="130"/>
      <c r="G1302" s="14"/>
      <c r="H1302" s="14"/>
      <c r="I1302" s="14"/>
      <c r="J1302" s="14"/>
      <c r="K1302" s="14"/>
      <c r="L1302" s="14"/>
      <c r="M1302" s="14"/>
    </row>
    <row r="1303" spans="2:13" s="7" customFormat="1" ht="13.5">
      <c r="B1303" s="30"/>
      <c r="C1303" s="30"/>
      <c r="D1303" s="31"/>
      <c r="E1303" s="35"/>
      <c r="F1303" s="130"/>
      <c r="G1303" s="14"/>
      <c r="H1303" s="14"/>
      <c r="I1303" s="14"/>
      <c r="J1303" s="14"/>
      <c r="K1303" s="14"/>
      <c r="L1303" s="14"/>
      <c r="M1303" s="14"/>
    </row>
    <row r="1304" spans="2:13" s="7" customFormat="1" ht="13.5">
      <c r="B1304" s="30"/>
      <c r="C1304" s="30"/>
      <c r="D1304" s="31"/>
      <c r="E1304" s="35"/>
      <c r="F1304" s="130"/>
      <c r="G1304" s="14"/>
      <c r="H1304" s="14"/>
      <c r="I1304" s="14"/>
      <c r="J1304" s="14"/>
      <c r="K1304" s="14"/>
      <c r="L1304" s="14"/>
      <c r="M1304" s="14"/>
    </row>
    <row r="1305" spans="2:13" s="7" customFormat="1" ht="13.5">
      <c r="B1305" s="30"/>
      <c r="C1305" s="30"/>
      <c r="D1305" s="31"/>
      <c r="E1305" s="35"/>
      <c r="F1305" s="130"/>
      <c r="G1305" s="14"/>
      <c r="H1305" s="14"/>
      <c r="I1305" s="14"/>
      <c r="J1305" s="14"/>
      <c r="K1305" s="14"/>
      <c r="L1305" s="14"/>
      <c r="M1305" s="14"/>
    </row>
    <row r="1306" spans="2:13" s="7" customFormat="1" ht="13.5">
      <c r="B1306" s="30"/>
      <c r="C1306" s="30"/>
      <c r="D1306" s="31"/>
      <c r="E1306" s="35"/>
      <c r="F1306" s="130"/>
      <c r="G1306" s="14"/>
      <c r="H1306" s="14"/>
      <c r="I1306" s="14"/>
      <c r="J1306" s="14"/>
      <c r="K1306" s="14"/>
      <c r="L1306" s="14"/>
      <c r="M1306" s="14"/>
    </row>
    <row r="1307" spans="2:13" s="7" customFormat="1" ht="13.5">
      <c r="B1307" s="30"/>
      <c r="C1307" s="30"/>
      <c r="D1307" s="31"/>
      <c r="E1307" s="35"/>
      <c r="F1307" s="130"/>
      <c r="G1307" s="14"/>
      <c r="H1307" s="14"/>
      <c r="I1307" s="14"/>
      <c r="J1307" s="14"/>
      <c r="K1307" s="14"/>
      <c r="L1307" s="14"/>
      <c r="M1307" s="14"/>
    </row>
    <row r="1308" spans="2:13" s="7" customFormat="1" ht="13.5">
      <c r="B1308" s="30"/>
      <c r="C1308" s="30"/>
      <c r="D1308" s="31"/>
      <c r="E1308" s="35"/>
      <c r="F1308" s="130"/>
      <c r="G1308" s="14"/>
      <c r="H1308" s="14"/>
      <c r="I1308" s="14"/>
      <c r="J1308" s="14"/>
      <c r="K1308" s="14"/>
      <c r="L1308" s="14"/>
      <c r="M1308" s="14"/>
    </row>
    <row r="1309" spans="2:13" s="7" customFormat="1" ht="13.5">
      <c r="B1309" s="30"/>
      <c r="C1309" s="30"/>
      <c r="D1309" s="31"/>
      <c r="E1309" s="35"/>
      <c r="F1309" s="130"/>
      <c r="G1309" s="14"/>
      <c r="H1309" s="14"/>
      <c r="I1309" s="14"/>
      <c r="J1309" s="14"/>
      <c r="K1309" s="14"/>
      <c r="L1309" s="14"/>
      <c r="M1309" s="14"/>
    </row>
    <row r="1310" spans="2:13" s="7" customFormat="1" ht="13.5">
      <c r="B1310" s="30"/>
      <c r="C1310" s="30"/>
      <c r="D1310" s="31"/>
      <c r="E1310" s="35"/>
      <c r="F1310" s="130"/>
      <c r="G1310" s="14"/>
      <c r="H1310" s="14"/>
      <c r="I1310" s="14"/>
      <c r="J1310" s="14"/>
      <c r="K1310" s="14"/>
      <c r="L1310" s="14"/>
      <c r="M1310" s="14"/>
    </row>
    <row r="1311" spans="2:13" s="7" customFormat="1" ht="13.5">
      <c r="B1311" s="30"/>
      <c r="C1311" s="30"/>
      <c r="D1311" s="31"/>
      <c r="E1311" s="35"/>
      <c r="F1311" s="130"/>
      <c r="G1311" s="14"/>
      <c r="H1311" s="14"/>
      <c r="I1311" s="14"/>
      <c r="J1311" s="14"/>
      <c r="K1311" s="14"/>
      <c r="L1311" s="14"/>
      <c r="M1311" s="14"/>
    </row>
    <row r="1312" spans="2:13" s="7" customFormat="1" ht="13.5">
      <c r="B1312" s="30"/>
      <c r="C1312" s="30"/>
      <c r="D1312" s="31"/>
      <c r="E1312" s="35"/>
      <c r="F1312" s="130"/>
      <c r="G1312" s="14"/>
      <c r="H1312" s="14"/>
      <c r="I1312" s="14"/>
      <c r="J1312" s="14"/>
      <c r="K1312" s="14"/>
      <c r="L1312" s="14"/>
      <c r="M1312" s="14"/>
    </row>
    <row r="1313" spans="2:13" s="7" customFormat="1" ht="13.5">
      <c r="B1313" s="30"/>
      <c r="C1313" s="30"/>
      <c r="D1313" s="31"/>
      <c r="E1313" s="35"/>
      <c r="F1313" s="130"/>
      <c r="G1313" s="14"/>
      <c r="H1313" s="14"/>
      <c r="I1313" s="14"/>
      <c r="J1313" s="14"/>
      <c r="K1313" s="14"/>
      <c r="L1313" s="14"/>
      <c r="M1313" s="14"/>
    </row>
    <row r="1314" spans="2:13" s="7" customFormat="1" ht="13.5">
      <c r="B1314" s="30"/>
      <c r="C1314" s="30"/>
      <c r="D1314" s="31"/>
      <c r="E1314" s="35"/>
      <c r="F1314" s="130"/>
      <c r="G1314" s="14"/>
      <c r="H1314" s="14"/>
      <c r="I1314" s="14"/>
      <c r="J1314" s="14"/>
      <c r="K1314" s="14"/>
      <c r="L1314" s="14"/>
      <c r="M1314" s="14"/>
    </row>
    <row r="1315" spans="2:13" s="7" customFormat="1" ht="13.5">
      <c r="B1315" s="30"/>
      <c r="C1315" s="30"/>
      <c r="D1315" s="31"/>
      <c r="E1315" s="35"/>
      <c r="F1315" s="130"/>
      <c r="G1315" s="14"/>
      <c r="H1315" s="14"/>
      <c r="I1315" s="14"/>
      <c r="J1315" s="14"/>
      <c r="K1315" s="14"/>
      <c r="L1315" s="14"/>
      <c r="M1315" s="14"/>
    </row>
    <row r="1316" spans="2:13" s="7" customFormat="1" ht="13.5">
      <c r="B1316" s="30"/>
      <c r="C1316" s="30"/>
      <c r="D1316" s="31"/>
      <c r="E1316" s="35"/>
      <c r="F1316" s="130"/>
      <c r="G1316" s="14"/>
      <c r="H1316" s="14"/>
      <c r="I1316" s="14"/>
      <c r="J1316" s="14"/>
      <c r="K1316" s="14"/>
      <c r="L1316" s="14"/>
      <c r="M1316" s="14"/>
    </row>
    <row r="1317" spans="2:13" s="7" customFormat="1" ht="13.5">
      <c r="B1317" s="30"/>
      <c r="C1317" s="30"/>
      <c r="D1317" s="31"/>
      <c r="E1317" s="35"/>
      <c r="F1317" s="130"/>
      <c r="G1317" s="14"/>
      <c r="H1317" s="14"/>
      <c r="I1317" s="14"/>
      <c r="J1317" s="14"/>
      <c r="K1317" s="14"/>
      <c r="L1317" s="14"/>
      <c r="M1317" s="14"/>
    </row>
    <row r="1318" spans="2:13" s="7" customFormat="1" ht="13.5">
      <c r="B1318" s="30"/>
      <c r="C1318" s="30"/>
      <c r="D1318" s="31"/>
      <c r="E1318" s="35"/>
      <c r="F1318" s="130"/>
      <c r="G1318" s="14"/>
      <c r="H1318" s="14"/>
      <c r="I1318" s="14"/>
      <c r="J1318" s="14"/>
      <c r="K1318" s="14"/>
      <c r="L1318" s="14"/>
      <c r="M1318" s="14"/>
    </row>
    <row r="1319" spans="2:13" s="7" customFormat="1" ht="13.5">
      <c r="B1319" s="30"/>
      <c r="C1319" s="30"/>
      <c r="D1319" s="31"/>
      <c r="E1319" s="35"/>
      <c r="F1319" s="130"/>
      <c r="G1319" s="14"/>
      <c r="H1319" s="14"/>
      <c r="I1319" s="14"/>
      <c r="J1319" s="14"/>
      <c r="K1319" s="14"/>
      <c r="L1319" s="14"/>
      <c r="M1319" s="14"/>
    </row>
    <row r="1320" spans="2:13" s="7" customFormat="1" ht="13.5">
      <c r="B1320" s="30"/>
      <c r="C1320" s="30"/>
      <c r="D1320" s="31"/>
      <c r="E1320" s="35"/>
      <c r="F1320" s="130"/>
      <c r="G1320" s="14"/>
      <c r="H1320" s="14"/>
      <c r="I1320" s="14"/>
      <c r="J1320" s="14"/>
      <c r="K1320" s="14"/>
      <c r="L1320" s="14"/>
      <c r="M1320" s="14"/>
    </row>
    <row r="1321" spans="2:13" s="7" customFormat="1" ht="13.5">
      <c r="B1321" s="30"/>
      <c r="C1321" s="30"/>
      <c r="D1321" s="31"/>
      <c r="E1321" s="35"/>
      <c r="F1321" s="130"/>
      <c r="G1321" s="14"/>
      <c r="H1321" s="14"/>
      <c r="I1321" s="14"/>
      <c r="J1321" s="14"/>
      <c r="K1321" s="14"/>
      <c r="L1321" s="14"/>
      <c r="M1321" s="14"/>
    </row>
    <row r="1322" spans="2:13" s="7" customFormat="1" ht="13.5">
      <c r="B1322" s="30"/>
      <c r="C1322" s="30"/>
      <c r="D1322" s="31"/>
      <c r="E1322" s="35"/>
      <c r="F1322" s="130"/>
      <c r="G1322" s="14"/>
      <c r="H1322" s="14"/>
      <c r="I1322" s="14"/>
      <c r="J1322" s="14"/>
      <c r="K1322" s="14"/>
      <c r="L1322" s="14"/>
      <c r="M1322" s="14"/>
    </row>
    <row r="1323" spans="2:13" s="7" customFormat="1" ht="13.5">
      <c r="B1323" s="30"/>
      <c r="C1323" s="30"/>
      <c r="D1323" s="31"/>
      <c r="E1323" s="35"/>
      <c r="F1323" s="130"/>
      <c r="G1323" s="14"/>
      <c r="H1323" s="14"/>
      <c r="I1323" s="14"/>
      <c r="J1323" s="14"/>
      <c r="K1323" s="14"/>
      <c r="L1323" s="14"/>
      <c r="M1323" s="14"/>
    </row>
    <row r="1324" spans="2:13" s="7" customFormat="1" ht="13.5">
      <c r="B1324" s="30"/>
      <c r="C1324" s="30"/>
      <c r="D1324" s="31"/>
      <c r="E1324" s="35"/>
      <c r="F1324" s="130"/>
      <c r="G1324" s="14"/>
      <c r="H1324" s="14"/>
      <c r="I1324" s="14"/>
      <c r="J1324" s="14"/>
      <c r="K1324" s="14"/>
      <c r="L1324" s="14"/>
      <c r="M1324" s="14"/>
    </row>
    <row r="1325" spans="2:13" s="7" customFormat="1" ht="13.5">
      <c r="B1325" s="30"/>
      <c r="C1325" s="30"/>
      <c r="D1325" s="31"/>
      <c r="E1325" s="35"/>
      <c r="F1325" s="130"/>
      <c r="G1325" s="14"/>
      <c r="H1325" s="14"/>
      <c r="I1325" s="14"/>
      <c r="J1325" s="14"/>
      <c r="K1325" s="14"/>
      <c r="L1325" s="14"/>
      <c r="M1325" s="14"/>
    </row>
    <row r="1326" spans="2:13" s="7" customFormat="1" ht="13.5">
      <c r="B1326" s="30"/>
      <c r="C1326" s="30"/>
      <c r="D1326" s="31"/>
      <c r="E1326" s="35"/>
      <c r="F1326" s="130"/>
      <c r="G1326" s="14"/>
      <c r="H1326" s="14"/>
      <c r="I1326" s="14"/>
      <c r="J1326" s="14"/>
      <c r="K1326" s="14"/>
      <c r="L1326" s="14"/>
      <c r="M1326" s="14"/>
    </row>
    <row r="1327" spans="2:13" s="7" customFormat="1" ht="13.5">
      <c r="B1327" s="30"/>
      <c r="C1327" s="30"/>
      <c r="D1327" s="31"/>
      <c r="E1327" s="35"/>
      <c r="F1327" s="130"/>
      <c r="G1327" s="14"/>
      <c r="H1327" s="14"/>
      <c r="I1327" s="14"/>
      <c r="J1327" s="14"/>
      <c r="K1327" s="14"/>
      <c r="L1327" s="14"/>
      <c r="M1327" s="14"/>
    </row>
    <row r="1328" spans="2:13" s="7" customFormat="1" ht="13.5">
      <c r="B1328" s="30"/>
      <c r="C1328" s="30"/>
      <c r="D1328" s="31"/>
      <c r="E1328" s="35"/>
      <c r="F1328" s="130"/>
      <c r="G1328" s="14"/>
      <c r="H1328" s="14"/>
      <c r="I1328" s="14"/>
      <c r="J1328" s="14"/>
      <c r="K1328" s="14"/>
      <c r="L1328" s="14"/>
      <c r="M1328" s="14"/>
    </row>
    <row r="1329" spans="2:13" s="7" customFormat="1" ht="13.5">
      <c r="B1329" s="30"/>
      <c r="C1329" s="30"/>
      <c r="D1329" s="31"/>
      <c r="E1329" s="35"/>
      <c r="F1329" s="130"/>
      <c r="G1329" s="14"/>
      <c r="H1329" s="14"/>
      <c r="I1329" s="14"/>
      <c r="J1329" s="14"/>
      <c r="K1329" s="14"/>
      <c r="L1329" s="14"/>
      <c r="M1329" s="14"/>
    </row>
    <row r="1330" spans="2:13" s="7" customFormat="1" ht="13.5">
      <c r="B1330" s="30"/>
      <c r="C1330" s="30"/>
      <c r="D1330" s="31"/>
      <c r="E1330" s="35"/>
      <c r="F1330" s="130"/>
      <c r="G1330" s="14"/>
      <c r="H1330" s="14"/>
      <c r="I1330" s="14"/>
      <c r="J1330" s="14"/>
      <c r="K1330" s="14"/>
      <c r="L1330" s="14"/>
      <c r="M1330" s="14"/>
    </row>
    <row r="1331" spans="2:13" s="7" customFormat="1" ht="13.5">
      <c r="B1331" s="30"/>
      <c r="C1331" s="30"/>
      <c r="D1331" s="31"/>
      <c r="E1331" s="35"/>
      <c r="F1331" s="130"/>
      <c r="G1331" s="14"/>
      <c r="H1331" s="14"/>
      <c r="I1331" s="14"/>
      <c r="J1331" s="14"/>
      <c r="K1331" s="14"/>
      <c r="L1331" s="14"/>
      <c r="M1331" s="14"/>
    </row>
    <row r="1332" spans="2:13" s="7" customFormat="1" ht="13.5">
      <c r="B1332" s="30"/>
      <c r="C1332" s="30"/>
      <c r="D1332" s="31"/>
      <c r="E1332" s="35"/>
      <c r="F1332" s="130"/>
      <c r="G1332" s="14"/>
      <c r="H1332" s="14"/>
      <c r="I1332" s="14"/>
      <c r="J1332" s="14"/>
      <c r="K1332" s="14"/>
      <c r="L1332" s="14"/>
      <c r="M1332" s="14"/>
    </row>
    <row r="1333" spans="2:13" s="7" customFormat="1" ht="13.5">
      <c r="B1333" s="30"/>
      <c r="C1333" s="30"/>
      <c r="D1333" s="31"/>
      <c r="E1333" s="35"/>
      <c r="F1333" s="130"/>
      <c r="G1333" s="14"/>
      <c r="H1333" s="14"/>
      <c r="I1333" s="14"/>
      <c r="J1333" s="14"/>
      <c r="K1333" s="14"/>
      <c r="L1333" s="14"/>
      <c r="M1333" s="14"/>
    </row>
    <row r="1334" spans="2:13" s="7" customFormat="1" ht="13.5">
      <c r="B1334" s="30"/>
      <c r="C1334" s="30"/>
      <c r="D1334" s="31"/>
      <c r="E1334" s="35"/>
      <c r="F1334" s="130"/>
      <c r="G1334" s="14"/>
      <c r="H1334" s="14"/>
      <c r="I1334" s="14"/>
      <c r="J1334" s="14"/>
      <c r="K1334" s="14"/>
      <c r="L1334" s="14"/>
      <c r="M1334" s="14"/>
    </row>
    <row r="1335" spans="2:13" s="7" customFormat="1" ht="13.5">
      <c r="B1335" s="30"/>
      <c r="C1335" s="30"/>
      <c r="D1335" s="31"/>
      <c r="E1335" s="35"/>
      <c r="F1335" s="130"/>
      <c r="G1335" s="14"/>
      <c r="H1335" s="14"/>
      <c r="I1335" s="14"/>
      <c r="J1335" s="14"/>
      <c r="K1335" s="14"/>
      <c r="L1335" s="14"/>
      <c r="M1335" s="14"/>
    </row>
    <row r="1336" spans="2:13" s="7" customFormat="1" ht="13.5">
      <c r="B1336" s="30"/>
      <c r="C1336" s="30"/>
      <c r="D1336" s="31"/>
      <c r="E1336" s="35"/>
      <c r="F1336" s="130"/>
      <c r="G1336" s="14"/>
      <c r="H1336" s="14"/>
      <c r="I1336" s="14"/>
      <c r="J1336" s="14"/>
      <c r="K1336" s="14"/>
      <c r="L1336" s="14"/>
      <c r="M1336" s="14"/>
    </row>
    <row r="1337" spans="2:13" s="7" customFormat="1" ht="13.5">
      <c r="B1337" s="30"/>
      <c r="C1337" s="30"/>
      <c r="D1337" s="31"/>
      <c r="E1337" s="35"/>
      <c r="F1337" s="130"/>
      <c r="G1337" s="14"/>
      <c r="H1337" s="14"/>
      <c r="I1337" s="14"/>
      <c r="J1337" s="14"/>
      <c r="K1337" s="14"/>
      <c r="L1337" s="14"/>
      <c r="M1337" s="14"/>
    </row>
    <row r="1338" spans="2:13" s="7" customFormat="1" ht="13.5">
      <c r="B1338" s="30"/>
      <c r="C1338" s="30"/>
      <c r="D1338" s="31"/>
      <c r="E1338" s="35"/>
      <c r="F1338" s="130"/>
      <c r="G1338" s="14"/>
      <c r="H1338" s="14"/>
      <c r="I1338" s="14"/>
      <c r="J1338" s="14"/>
      <c r="K1338" s="14"/>
      <c r="L1338" s="14"/>
      <c r="M1338" s="14"/>
    </row>
    <row r="1339" spans="2:13" s="7" customFormat="1" ht="13.5">
      <c r="B1339" s="30"/>
      <c r="C1339" s="30"/>
      <c r="D1339" s="31"/>
      <c r="E1339" s="35"/>
      <c r="F1339" s="130"/>
      <c r="G1339" s="14"/>
      <c r="H1339" s="14"/>
      <c r="I1339" s="14"/>
      <c r="J1339" s="14"/>
      <c r="K1339" s="14"/>
      <c r="L1339" s="14"/>
      <c r="M1339" s="14"/>
    </row>
    <row r="1340" spans="2:13" s="7" customFormat="1" ht="13.5">
      <c r="B1340" s="30"/>
      <c r="C1340" s="30"/>
      <c r="D1340" s="31"/>
      <c r="E1340" s="35"/>
      <c r="F1340" s="130"/>
      <c r="G1340" s="14"/>
      <c r="H1340" s="14"/>
      <c r="I1340" s="14"/>
      <c r="J1340" s="14"/>
      <c r="K1340" s="14"/>
      <c r="L1340" s="14"/>
      <c r="M1340" s="14"/>
    </row>
    <row r="1341" spans="2:13" s="7" customFormat="1" ht="13.5">
      <c r="B1341" s="30"/>
      <c r="C1341" s="30"/>
      <c r="D1341" s="31"/>
      <c r="E1341" s="35"/>
      <c r="F1341" s="130"/>
      <c r="G1341" s="14"/>
      <c r="H1341" s="14"/>
      <c r="I1341" s="14"/>
      <c r="J1341" s="14"/>
      <c r="K1341" s="14"/>
      <c r="L1341" s="14"/>
      <c r="M1341" s="14"/>
    </row>
    <row r="1342" spans="2:13" s="7" customFormat="1" ht="13.5">
      <c r="B1342" s="30"/>
      <c r="C1342" s="30"/>
      <c r="D1342" s="31"/>
      <c r="E1342" s="35"/>
      <c r="F1342" s="130"/>
      <c r="G1342" s="14"/>
      <c r="H1342" s="14"/>
      <c r="I1342" s="14"/>
      <c r="J1342" s="14"/>
      <c r="K1342" s="14"/>
      <c r="L1342" s="14"/>
      <c r="M1342" s="14"/>
    </row>
    <row r="1343" spans="2:13" s="7" customFormat="1" ht="13.5">
      <c r="B1343" s="30"/>
      <c r="C1343" s="30"/>
      <c r="D1343" s="31"/>
      <c r="E1343" s="35"/>
      <c r="F1343" s="130"/>
      <c r="G1343" s="14"/>
      <c r="H1343" s="14"/>
      <c r="I1343" s="14"/>
      <c r="J1343" s="14"/>
      <c r="K1343" s="14"/>
      <c r="L1343" s="14"/>
      <c r="M1343" s="14"/>
    </row>
    <row r="1344" spans="2:13" s="7" customFormat="1" ht="13.5">
      <c r="B1344" s="30"/>
      <c r="C1344" s="30"/>
      <c r="D1344" s="31"/>
      <c r="E1344" s="35"/>
      <c r="F1344" s="130"/>
      <c r="G1344" s="14"/>
      <c r="H1344" s="14"/>
      <c r="I1344" s="14"/>
      <c r="J1344" s="14"/>
      <c r="K1344" s="14"/>
      <c r="L1344" s="14"/>
      <c r="M1344" s="14"/>
    </row>
    <row r="1345" spans="2:13" s="7" customFormat="1" ht="13.5">
      <c r="B1345" s="30"/>
      <c r="C1345" s="30"/>
      <c r="D1345" s="31"/>
      <c r="E1345" s="35"/>
      <c r="F1345" s="130"/>
      <c r="G1345" s="14"/>
      <c r="H1345" s="14"/>
      <c r="I1345" s="14"/>
      <c r="J1345" s="14"/>
      <c r="K1345" s="14"/>
      <c r="L1345" s="14"/>
      <c r="M1345" s="14"/>
    </row>
    <row r="1346" spans="2:13" s="7" customFormat="1" ht="13.5">
      <c r="B1346" s="30"/>
      <c r="C1346" s="30"/>
      <c r="D1346" s="31"/>
      <c r="E1346" s="35"/>
      <c r="F1346" s="130"/>
      <c r="G1346" s="14"/>
      <c r="H1346" s="14"/>
      <c r="I1346" s="14"/>
      <c r="J1346" s="14"/>
      <c r="K1346" s="14"/>
      <c r="L1346" s="14"/>
      <c r="M1346" s="14"/>
    </row>
    <row r="1347" spans="2:13" s="7" customFormat="1" ht="13.5">
      <c r="B1347" s="30"/>
      <c r="C1347" s="30"/>
      <c r="D1347" s="31"/>
      <c r="E1347" s="35"/>
      <c r="F1347" s="130"/>
      <c r="G1347" s="14"/>
      <c r="H1347" s="14"/>
      <c r="I1347" s="14"/>
      <c r="J1347" s="14"/>
      <c r="K1347" s="14"/>
      <c r="L1347" s="14"/>
      <c r="M1347" s="14"/>
    </row>
    <row r="1348" spans="2:13" s="7" customFormat="1" ht="13.5">
      <c r="B1348" s="30"/>
      <c r="C1348" s="30"/>
      <c r="D1348" s="31"/>
      <c r="E1348" s="35"/>
      <c r="F1348" s="130"/>
      <c r="G1348" s="14"/>
      <c r="H1348" s="14"/>
      <c r="I1348" s="14"/>
      <c r="J1348" s="14"/>
      <c r="K1348" s="14"/>
      <c r="L1348" s="14"/>
      <c r="M1348" s="14"/>
    </row>
    <row r="1349" spans="2:13" s="7" customFormat="1" ht="13.5">
      <c r="B1349" s="30"/>
      <c r="C1349" s="30"/>
      <c r="D1349" s="31"/>
      <c r="E1349" s="35"/>
      <c r="F1349" s="130"/>
      <c r="G1349" s="14"/>
      <c r="H1349" s="14"/>
      <c r="I1349" s="14"/>
      <c r="J1349" s="14"/>
      <c r="K1349" s="14"/>
      <c r="L1349" s="14"/>
      <c r="M1349" s="14"/>
    </row>
    <row r="1350" spans="2:13" s="7" customFormat="1" ht="13.5">
      <c r="B1350" s="30"/>
      <c r="C1350" s="30"/>
      <c r="D1350" s="31"/>
      <c r="E1350" s="35"/>
      <c r="F1350" s="130"/>
      <c r="G1350" s="14"/>
      <c r="H1350" s="14"/>
      <c r="I1350" s="14"/>
      <c r="J1350" s="14"/>
      <c r="K1350" s="14"/>
      <c r="L1350" s="14"/>
      <c r="M1350" s="14"/>
    </row>
    <row r="1351" spans="2:13" s="7" customFormat="1" ht="13.5">
      <c r="B1351" s="30"/>
      <c r="C1351" s="30"/>
      <c r="D1351" s="31"/>
      <c r="E1351" s="35"/>
      <c r="F1351" s="130"/>
      <c r="G1351" s="14"/>
      <c r="H1351" s="14"/>
      <c r="I1351" s="14"/>
      <c r="J1351" s="14"/>
      <c r="K1351" s="14"/>
      <c r="L1351" s="14"/>
      <c r="M1351" s="14"/>
    </row>
    <row r="1352" spans="2:13" s="7" customFormat="1" ht="13.5">
      <c r="B1352" s="30"/>
      <c r="C1352" s="30"/>
      <c r="D1352" s="31"/>
      <c r="E1352" s="35"/>
      <c r="F1352" s="130"/>
      <c r="G1352" s="14"/>
      <c r="H1352" s="14"/>
      <c r="I1352" s="14"/>
      <c r="J1352" s="14"/>
      <c r="K1352" s="14"/>
      <c r="L1352" s="14"/>
      <c r="M1352" s="14"/>
    </row>
    <row r="1353" spans="2:13" s="7" customFormat="1" ht="13.5">
      <c r="B1353" s="30"/>
      <c r="C1353" s="30"/>
      <c r="D1353" s="31"/>
      <c r="E1353" s="35"/>
      <c r="F1353" s="130"/>
      <c r="G1353" s="14"/>
      <c r="H1353" s="14"/>
      <c r="I1353" s="14"/>
      <c r="J1353" s="14"/>
      <c r="K1353" s="14"/>
      <c r="L1353" s="14"/>
      <c r="M1353" s="14"/>
    </row>
    <row r="1354" spans="2:13" s="7" customFormat="1" ht="13.5">
      <c r="B1354" s="30"/>
      <c r="C1354" s="30"/>
      <c r="D1354" s="31"/>
      <c r="E1354" s="35"/>
      <c r="F1354" s="130"/>
      <c r="G1354" s="14"/>
      <c r="H1354" s="14"/>
      <c r="I1354" s="14"/>
      <c r="J1354" s="14"/>
      <c r="K1354" s="14"/>
      <c r="L1354" s="14"/>
      <c r="M1354" s="14"/>
    </row>
    <row r="1355" spans="2:13" s="7" customFormat="1" ht="13.5">
      <c r="B1355" s="30"/>
      <c r="C1355" s="30"/>
      <c r="D1355" s="31"/>
      <c r="E1355" s="35"/>
      <c r="F1355" s="130"/>
      <c r="G1355" s="14"/>
      <c r="H1355" s="14"/>
      <c r="I1355" s="14"/>
      <c r="J1355" s="14"/>
      <c r="K1355" s="14"/>
      <c r="L1355" s="14"/>
      <c r="M1355" s="14"/>
    </row>
    <row r="1356" spans="2:13" s="7" customFormat="1" ht="13.5">
      <c r="B1356" s="30"/>
      <c r="C1356" s="30"/>
      <c r="D1356" s="31"/>
      <c r="E1356" s="35"/>
      <c r="F1356" s="130"/>
      <c r="G1356" s="14"/>
      <c r="H1356" s="14"/>
      <c r="I1356" s="14"/>
      <c r="J1356" s="14"/>
      <c r="K1356" s="14"/>
      <c r="L1356" s="14"/>
      <c r="M1356" s="14"/>
    </row>
    <row r="1357" spans="2:13" s="7" customFormat="1" ht="13.5">
      <c r="B1357" s="30"/>
      <c r="C1357" s="30"/>
      <c r="D1357" s="31"/>
      <c r="E1357" s="35"/>
      <c r="F1357" s="130"/>
      <c r="G1357" s="14"/>
      <c r="H1357" s="14"/>
      <c r="I1357" s="14"/>
      <c r="J1357" s="14"/>
      <c r="K1357" s="14"/>
      <c r="L1357" s="14"/>
      <c r="M1357" s="14"/>
    </row>
    <row r="1358" spans="2:13" s="7" customFormat="1" ht="13.5">
      <c r="B1358" s="30"/>
      <c r="C1358" s="30"/>
      <c r="D1358" s="31"/>
      <c r="E1358" s="35"/>
      <c r="F1358" s="130"/>
      <c r="G1358" s="14"/>
      <c r="H1358" s="14"/>
      <c r="I1358" s="14"/>
      <c r="J1358" s="14"/>
      <c r="K1358" s="14"/>
      <c r="L1358" s="14"/>
      <c r="M1358" s="14"/>
    </row>
    <row r="1359" spans="2:13" s="7" customFormat="1" ht="13.5">
      <c r="B1359" s="30"/>
      <c r="C1359" s="30"/>
      <c r="D1359" s="31"/>
      <c r="E1359" s="35"/>
      <c r="F1359" s="130"/>
      <c r="G1359" s="14"/>
      <c r="H1359" s="14"/>
      <c r="I1359" s="14"/>
      <c r="J1359" s="14"/>
      <c r="K1359" s="14"/>
      <c r="L1359" s="14"/>
      <c r="M1359" s="14"/>
    </row>
    <row r="1360" spans="2:13" s="7" customFormat="1" ht="13.5">
      <c r="B1360" s="30"/>
      <c r="C1360" s="30"/>
      <c r="D1360" s="31"/>
      <c r="E1360" s="35"/>
      <c r="F1360" s="130"/>
      <c r="G1360" s="14"/>
      <c r="H1360" s="14"/>
      <c r="I1360" s="14"/>
      <c r="J1360" s="14"/>
      <c r="K1360" s="14"/>
      <c r="L1360" s="14"/>
      <c r="M1360" s="14"/>
    </row>
    <row r="1361" spans="2:13" s="7" customFormat="1" ht="13.5">
      <c r="B1361" s="30"/>
      <c r="C1361" s="30"/>
      <c r="D1361" s="31"/>
      <c r="E1361" s="35"/>
      <c r="F1361" s="130"/>
      <c r="G1361" s="14"/>
      <c r="H1361" s="14"/>
      <c r="I1361" s="14"/>
      <c r="J1361" s="14"/>
      <c r="K1361" s="14"/>
      <c r="L1361" s="14"/>
      <c r="M1361" s="14"/>
    </row>
    <row r="1362" spans="2:13" s="7" customFormat="1" ht="13.5">
      <c r="B1362" s="30"/>
      <c r="C1362" s="30"/>
      <c r="D1362" s="31"/>
      <c r="E1362" s="35"/>
      <c r="F1362" s="130"/>
      <c r="G1362" s="14"/>
      <c r="H1362" s="14"/>
      <c r="I1362" s="14"/>
      <c r="J1362" s="14"/>
      <c r="K1362" s="14"/>
      <c r="L1362" s="14"/>
      <c r="M1362" s="14"/>
    </row>
    <row r="1363" spans="2:13" s="7" customFormat="1" ht="13.5">
      <c r="B1363" s="30"/>
      <c r="C1363" s="30"/>
      <c r="D1363" s="31"/>
      <c r="E1363" s="35"/>
      <c r="F1363" s="130"/>
      <c r="G1363" s="14"/>
      <c r="H1363" s="14"/>
      <c r="I1363" s="14"/>
      <c r="J1363" s="14"/>
      <c r="K1363" s="14"/>
      <c r="L1363" s="14"/>
      <c r="M1363" s="14"/>
    </row>
    <row r="1364" spans="2:13" s="7" customFormat="1" ht="13.5">
      <c r="B1364" s="30"/>
      <c r="C1364" s="30"/>
      <c r="D1364" s="31"/>
      <c r="E1364" s="35"/>
      <c r="F1364" s="130"/>
      <c r="G1364" s="14"/>
      <c r="H1364" s="14"/>
      <c r="I1364" s="14"/>
      <c r="J1364" s="14"/>
      <c r="K1364" s="14"/>
      <c r="L1364" s="14"/>
      <c r="M1364" s="14"/>
    </row>
    <row r="1365" spans="2:13" s="7" customFormat="1" ht="13.5">
      <c r="B1365" s="30"/>
      <c r="C1365" s="30"/>
      <c r="D1365" s="31"/>
      <c r="E1365" s="35"/>
      <c r="F1365" s="130"/>
      <c r="G1365" s="14"/>
      <c r="H1365" s="14"/>
      <c r="I1365" s="14"/>
      <c r="J1365" s="14"/>
      <c r="K1365" s="14"/>
      <c r="L1365" s="14"/>
      <c r="M1365" s="14"/>
    </row>
    <row r="1366" spans="2:13" s="7" customFormat="1" ht="13.5">
      <c r="B1366" s="30"/>
      <c r="C1366" s="30"/>
      <c r="D1366" s="31"/>
      <c r="E1366" s="35"/>
      <c r="F1366" s="130"/>
      <c r="G1366" s="14"/>
      <c r="H1366" s="14"/>
      <c r="I1366" s="14"/>
      <c r="J1366" s="14"/>
      <c r="K1366" s="14"/>
      <c r="L1366" s="14"/>
      <c r="M1366" s="14"/>
    </row>
    <row r="1367" spans="2:13" s="7" customFormat="1" ht="13.5">
      <c r="B1367" s="30"/>
      <c r="C1367" s="30"/>
      <c r="D1367" s="31"/>
      <c r="E1367" s="35"/>
      <c r="F1367" s="130"/>
      <c r="G1367" s="14"/>
      <c r="H1367" s="14"/>
      <c r="I1367" s="14"/>
      <c r="J1367" s="14"/>
      <c r="K1367" s="14"/>
      <c r="L1367" s="14"/>
      <c r="M1367" s="14"/>
    </row>
    <row r="1368" spans="2:13" s="7" customFormat="1" ht="13.5">
      <c r="B1368" s="30"/>
      <c r="C1368" s="30"/>
      <c r="D1368" s="31"/>
      <c r="E1368" s="35"/>
      <c r="F1368" s="130"/>
      <c r="G1368" s="14"/>
      <c r="H1368" s="14"/>
      <c r="I1368" s="14"/>
      <c r="J1368" s="14"/>
      <c r="K1368" s="14"/>
      <c r="L1368" s="14"/>
      <c r="M1368" s="14"/>
    </row>
    <row r="1369" spans="2:13" s="7" customFormat="1" ht="13.5">
      <c r="B1369" s="30"/>
      <c r="C1369" s="30"/>
      <c r="D1369" s="31"/>
      <c r="E1369" s="35"/>
      <c r="F1369" s="130"/>
      <c r="G1369" s="14"/>
      <c r="H1369" s="14"/>
      <c r="I1369" s="14"/>
      <c r="J1369" s="14"/>
      <c r="K1369" s="14"/>
      <c r="L1369" s="14"/>
      <c r="M1369" s="14"/>
    </row>
    <row r="1370" spans="2:13" s="7" customFormat="1" ht="13.5">
      <c r="B1370" s="30"/>
      <c r="C1370" s="30"/>
      <c r="D1370" s="31"/>
      <c r="E1370" s="35"/>
      <c r="F1370" s="130"/>
      <c r="G1370" s="14"/>
      <c r="H1370" s="14"/>
      <c r="I1370" s="14"/>
      <c r="J1370" s="14"/>
      <c r="K1370" s="14"/>
      <c r="L1370" s="14"/>
      <c r="M1370" s="14"/>
    </row>
    <row r="1371" spans="2:13" s="7" customFormat="1" ht="13.5">
      <c r="B1371" s="30"/>
      <c r="C1371" s="30"/>
      <c r="D1371" s="31"/>
      <c r="E1371" s="35"/>
      <c r="F1371" s="130"/>
      <c r="G1371" s="14"/>
      <c r="H1371" s="14"/>
      <c r="I1371" s="14"/>
      <c r="J1371" s="14"/>
      <c r="K1371" s="14"/>
      <c r="L1371" s="14"/>
      <c r="M1371" s="14"/>
    </row>
    <row r="1372" spans="2:13" s="7" customFormat="1" ht="13.5">
      <c r="B1372" s="30"/>
      <c r="C1372" s="30"/>
      <c r="D1372" s="31"/>
      <c r="E1372" s="35"/>
      <c r="F1372" s="130"/>
      <c r="G1372" s="14"/>
      <c r="H1372" s="14"/>
      <c r="I1372" s="14"/>
      <c r="J1372" s="14"/>
      <c r="K1372" s="14"/>
      <c r="L1372" s="14"/>
      <c r="M1372" s="14"/>
    </row>
    <row r="1373" spans="2:13" s="7" customFormat="1" ht="13.5">
      <c r="B1373" s="30"/>
      <c r="C1373" s="30"/>
      <c r="D1373" s="31"/>
      <c r="E1373" s="35"/>
      <c r="F1373" s="130"/>
      <c r="G1373" s="14"/>
      <c r="H1373" s="14"/>
      <c r="I1373" s="14"/>
      <c r="J1373" s="14"/>
      <c r="K1373" s="14"/>
      <c r="L1373" s="14"/>
      <c r="M1373" s="14"/>
    </row>
    <row r="1374" spans="2:13" s="7" customFormat="1" ht="13.5">
      <c r="B1374" s="30"/>
      <c r="C1374" s="30"/>
      <c r="D1374" s="31"/>
      <c r="E1374" s="35"/>
      <c r="F1374" s="130"/>
      <c r="G1374" s="14"/>
      <c r="H1374" s="14"/>
      <c r="I1374" s="14"/>
      <c r="J1374" s="14"/>
      <c r="K1374" s="14"/>
      <c r="L1374" s="14"/>
      <c r="M1374" s="14"/>
    </row>
    <row r="1375" spans="2:13" s="7" customFormat="1" ht="13.5">
      <c r="B1375" s="30"/>
      <c r="C1375" s="30"/>
      <c r="D1375" s="31"/>
      <c r="E1375" s="35"/>
      <c r="F1375" s="130"/>
      <c r="G1375" s="14"/>
      <c r="H1375" s="14"/>
      <c r="I1375" s="14"/>
      <c r="J1375" s="14"/>
      <c r="K1375" s="14"/>
      <c r="L1375" s="14"/>
      <c r="M1375" s="14"/>
    </row>
    <row r="1376" spans="2:13" s="7" customFormat="1" ht="13.5">
      <c r="B1376" s="30"/>
      <c r="C1376" s="30"/>
      <c r="D1376" s="31"/>
      <c r="E1376" s="35"/>
      <c r="F1376" s="130"/>
      <c r="G1376" s="14"/>
      <c r="H1376" s="14"/>
      <c r="I1376" s="14"/>
      <c r="J1376" s="14"/>
      <c r="K1376" s="14"/>
      <c r="L1376" s="14"/>
      <c r="M1376" s="14"/>
    </row>
    <row r="1377" spans="2:13" s="7" customFormat="1" ht="13.5">
      <c r="B1377" s="30"/>
      <c r="C1377" s="30"/>
      <c r="D1377" s="31"/>
      <c r="E1377" s="35"/>
      <c r="F1377" s="130"/>
      <c r="G1377" s="14"/>
      <c r="H1377" s="14"/>
      <c r="I1377" s="14"/>
      <c r="J1377" s="14"/>
      <c r="K1377" s="14"/>
      <c r="L1377" s="14"/>
      <c r="M1377" s="14"/>
    </row>
    <row r="1378" spans="2:13" s="7" customFormat="1" ht="13.5">
      <c r="B1378" s="30"/>
      <c r="C1378" s="30"/>
      <c r="D1378" s="31"/>
      <c r="E1378" s="35"/>
      <c r="F1378" s="130"/>
      <c r="G1378" s="14"/>
      <c r="H1378" s="14"/>
      <c r="I1378" s="14"/>
      <c r="J1378" s="14"/>
      <c r="K1378" s="14"/>
      <c r="L1378" s="14"/>
      <c r="M1378" s="14"/>
    </row>
    <row r="1379" spans="2:13" s="7" customFormat="1" ht="13.5">
      <c r="B1379" s="30"/>
      <c r="C1379" s="30"/>
      <c r="D1379" s="31"/>
      <c r="E1379" s="35"/>
      <c r="F1379" s="130"/>
      <c r="G1379" s="14"/>
      <c r="H1379" s="14"/>
      <c r="I1379" s="14"/>
      <c r="J1379" s="14"/>
      <c r="K1379" s="14"/>
      <c r="L1379" s="14"/>
      <c r="M1379" s="14"/>
    </row>
    <row r="1380" spans="2:13" s="7" customFormat="1" ht="13.5">
      <c r="B1380" s="30"/>
      <c r="C1380" s="30"/>
      <c r="D1380" s="31"/>
      <c r="E1380" s="35"/>
      <c r="F1380" s="130"/>
      <c r="G1380" s="14"/>
      <c r="H1380" s="14"/>
      <c r="I1380" s="14"/>
      <c r="J1380" s="14"/>
      <c r="K1380" s="14"/>
      <c r="L1380" s="14"/>
      <c r="M1380" s="14"/>
    </row>
    <row r="1381" spans="2:13" s="7" customFormat="1" ht="13.5">
      <c r="B1381" s="30"/>
      <c r="C1381" s="30"/>
      <c r="D1381" s="31"/>
      <c r="E1381" s="35"/>
      <c r="F1381" s="130"/>
      <c r="G1381" s="14"/>
      <c r="H1381" s="14"/>
      <c r="I1381" s="14"/>
      <c r="J1381" s="14"/>
      <c r="K1381" s="14"/>
      <c r="L1381" s="14"/>
      <c r="M1381" s="14"/>
    </row>
    <row r="1382" spans="2:13" s="7" customFormat="1" ht="13.5">
      <c r="B1382" s="30"/>
      <c r="C1382" s="30"/>
      <c r="D1382" s="31"/>
      <c r="E1382" s="35"/>
      <c r="F1382" s="130"/>
      <c r="G1382" s="14"/>
      <c r="H1382" s="14"/>
      <c r="I1382" s="14"/>
      <c r="J1382" s="14"/>
      <c r="K1382" s="14"/>
      <c r="L1382" s="14"/>
      <c r="M1382" s="14"/>
    </row>
    <row r="1383" spans="2:13" s="7" customFormat="1" ht="13.5">
      <c r="B1383" s="30"/>
      <c r="C1383" s="30"/>
      <c r="D1383" s="31"/>
      <c r="E1383" s="35"/>
      <c r="F1383" s="130"/>
      <c r="G1383" s="14"/>
      <c r="H1383" s="14"/>
      <c r="I1383" s="14"/>
      <c r="J1383" s="14"/>
      <c r="K1383" s="14"/>
      <c r="L1383" s="14"/>
      <c r="M1383" s="14"/>
    </row>
    <row r="1384" spans="2:13" s="7" customFormat="1" ht="13.5">
      <c r="B1384" s="30"/>
      <c r="C1384" s="30"/>
      <c r="D1384" s="31"/>
      <c r="E1384" s="35"/>
      <c r="F1384" s="130"/>
      <c r="G1384" s="14"/>
      <c r="H1384" s="14"/>
      <c r="I1384" s="14"/>
      <c r="J1384" s="14"/>
      <c r="K1384" s="14"/>
      <c r="L1384" s="14"/>
      <c r="M1384" s="14"/>
    </row>
    <row r="1385" spans="2:13" s="7" customFormat="1" ht="13.5">
      <c r="B1385" s="30"/>
      <c r="C1385" s="30"/>
      <c r="D1385" s="31"/>
      <c r="E1385" s="35"/>
      <c r="F1385" s="130"/>
      <c r="G1385" s="14"/>
      <c r="H1385" s="14"/>
      <c r="I1385" s="14"/>
      <c r="J1385" s="14"/>
      <c r="K1385" s="14"/>
      <c r="L1385" s="14"/>
      <c r="M1385" s="14"/>
    </row>
    <row r="1386" spans="2:13" s="7" customFormat="1" ht="13.5">
      <c r="B1386" s="30"/>
      <c r="C1386" s="30"/>
      <c r="D1386" s="31"/>
      <c r="E1386" s="35"/>
      <c r="F1386" s="130"/>
      <c r="G1386" s="14"/>
      <c r="H1386" s="14"/>
      <c r="I1386" s="14"/>
      <c r="J1386" s="14"/>
      <c r="K1386" s="14"/>
      <c r="L1386" s="14"/>
      <c r="M1386" s="14"/>
    </row>
    <row r="1387" spans="2:13" s="7" customFormat="1" ht="13.5">
      <c r="B1387" s="30"/>
      <c r="C1387" s="30"/>
      <c r="D1387" s="31"/>
      <c r="E1387" s="35"/>
      <c r="F1387" s="130"/>
      <c r="G1387" s="14"/>
      <c r="H1387" s="14"/>
      <c r="I1387" s="14"/>
      <c r="J1387" s="14"/>
      <c r="K1387" s="14"/>
      <c r="L1387" s="14"/>
      <c r="M1387" s="14"/>
    </row>
    <row r="1388" spans="2:13" s="7" customFormat="1" ht="13.5">
      <c r="B1388" s="30"/>
      <c r="C1388" s="30"/>
      <c r="D1388" s="31"/>
      <c r="E1388" s="35"/>
      <c r="F1388" s="130"/>
      <c r="G1388" s="14"/>
      <c r="H1388" s="14"/>
      <c r="I1388" s="14"/>
      <c r="J1388" s="14"/>
      <c r="K1388" s="14"/>
      <c r="L1388" s="14"/>
      <c r="M1388" s="14"/>
    </row>
    <row r="1389" spans="2:13" s="7" customFormat="1" ht="13.5">
      <c r="B1389" s="30"/>
      <c r="C1389" s="30"/>
      <c r="D1389" s="31"/>
      <c r="E1389" s="35"/>
      <c r="F1389" s="130"/>
      <c r="G1389" s="14"/>
      <c r="H1389" s="14"/>
      <c r="I1389" s="14"/>
      <c r="J1389" s="14"/>
      <c r="K1389" s="14"/>
      <c r="L1389" s="14"/>
      <c r="M1389" s="14"/>
    </row>
    <row r="1390" spans="2:13" s="7" customFormat="1" ht="13.5">
      <c r="B1390" s="30"/>
      <c r="C1390" s="30"/>
      <c r="D1390" s="31"/>
      <c r="E1390" s="35"/>
      <c r="F1390" s="130"/>
      <c r="G1390" s="14"/>
      <c r="H1390" s="14"/>
      <c r="I1390" s="14"/>
      <c r="J1390" s="14"/>
      <c r="K1390" s="14"/>
      <c r="L1390" s="14"/>
      <c r="M1390" s="14"/>
    </row>
    <row r="1391" spans="2:13" s="7" customFormat="1" ht="13.5">
      <c r="B1391" s="30"/>
      <c r="C1391" s="30"/>
      <c r="D1391" s="31"/>
      <c r="E1391" s="35"/>
      <c r="F1391" s="130"/>
      <c r="G1391" s="14"/>
      <c r="H1391" s="14"/>
      <c r="I1391" s="14"/>
      <c r="J1391" s="14"/>
      <c r="K1391" s="14"/>
      <c r="L1391" s="14"/>
      <c r="M1391" s="14"/>
    </row>
    <row r="1392" spans="2:13" s="7" customFormat="1" ht="13.5">
      <c r="B1392" s="30"/>
      <c r="C1392" s="30"/>
      <c r="D1392" s="31"/>
      <c r="E1392" s="35"/>
      <c r="F1392" s="130"/>
      <c r="G1392" s="14"/>
      <c r="H1392" s="14"/>
      <c r="I1392" s="14"/>
      <c r="J1392" s="14"/>
      <c r="K1392" s="14"/>
      <c r="L1392" s="14"/>
      <c r="M1392" s="14"/>
    </row>
    <row r="1393" spans="2:13" s="7" customFormat="1" ht="13.5">
      <c r="B1393" s="30"/>
      <c r="C1393" s="30"/>
      <c r="D1393" s="31"/>
      <c r="E1393" s="35"/>
      <c r="F1393" s="130"/>
      <c r="G1393" s="14"/>
      <c r="H1393" s="14"/>
      <c r="I1393" s="14"/>
      <c r="J1393" s="14"/>
      <c r="K1393" s="14"/>
      <c r="L1393" s="14"/>
      <c r="M1393" s="14"/>
    </row>
    <row r="1394" spans="2:13" s="7" customFormat="1" ht="13.5">
      <c r="B1394" s="30"/>
      <c r="C1394" s="30"/>
      <c r="D1394" s="31"/>
      <c r="E1394" s="35"/>
      <c r="F1394" s="130"/>
      <c r="G1394" s="14"/>
      <c r="H1394" s="14"/>
      <c r="I1394" s="14"/>
      <c r="J1394" s="14"/>
      <c r="K1394" s="14"/>
      <c r="L1394" s="14"/>
      <c r="M1394" s="14"/>
    </row>
    <row r="1395" spans="2:13" s="7" customFormat="1" ht="13.5">
      <c r="B1395" s="30"/>
      <c r="C1395" s="30"/>
      <c r="D1395" s="31"/>
      <c r="E1395" s="35"/>
      <c r="F1395" s="130"/>
      <c r="G1395" s="14"/>
      <c r="H1395" s="14"/>
      <c r="I1395" s="14"/>
      <c r="J1395" s="14"/>
      <c r="K1395" s="14"/>
      <c r="L1395" s="14"/>
      <c r="M1395" s="14"/>
    </row>
    <row r="1396" spans="2:13" s="7" customFormat="1" ht="13.5">
      <c r="B1396" s="30"/>
      <c r="C1396" s="30"/>
      <c r="D1396" s="31"/>
      <c r="E1396" s="35"/>
      <c r="F1396" s="130"/>
      <c r="G1396" s="14"/>
      <c r="H1396" s="14"/>
      <c r="I1396" s="14"/>
      <c r="J1396" s="14"/>
      <c r="K1396" s="14"/>
      <c r="L1396" s="14"/>
      <c r="M1396" s="14"/>
    </row>
    <row r="1397" spans="2:13" s="7" customFormat="1" ht="13.5">
      <c r="B1397" s="30"/>
      <c r="C1397" s="30"/>
      <c r="D1397" s="31"/>
      <c r="E1397" s="35"/>
      <c r="F1397" s="130"/>
      <c r="G1397" s="14"/>
      <c r="H1397" s="14"/>
      <c r="I1397" s="14"/>
      <c r="J1397" s="14"/>
      <c r="K1397" s="14"/>
      <c r="L1397" s="14"/>
      <c r="M1397" s="14"/>
    </row>
    <row r="1398" spans="2:13" s="7" customFormat="1" ht="13.5">
      <c r="B1398" s="30"/>
      <c r="C1398" s="30"/>
      <c r="D1398" s="31"/>
      <c r="E1398" s="35"/>
      <c r="F1398" s="130"/>
      <c r="G1398" s="14"/>
      <c r="H1398" s="14"/>
      <c r="I1398" s="14"/>
      <c r="J1398" s="14"/>
      <c r="K1398" s="14"/>
      <c r="L1398" s="14"/>
      <c r="M1398" s="14"/>
    </row>
    <row r="1399" spans="2:13" s="7" customFormat="1" ht="13.5">
      <c r="B1399" s="30"/>
      <c r="C1399" s="30"/>
      <c r="D1399" s="31"/>
      <c r="E1399" s="35"/>
      <c r="F1399" s="130"/>
      <c r="G1399" s="14"/>
      <c r="H1399" s="14"/>
      <c r="I1399" s="14"/>
      <c r="J1399" s="14"/>
      <c r="K1399" s="14"/>
      <c r="L1399" s="14"/>
      <c r="M1399" s="14"/>
    </row>
    <row r="1400" spans="2:13" s="7" customFormat="1" ht="13.5">
      <c r="B1400" s="30"/>
      <c r="C1400" s="30"/>
      <c r="D1400" s="31"/>
      <c r="E1400" s="35"/>
      <c r="F1400" s="130"/>
      <c r="G1400" s="14"/>
      <c r="H1400" s="14"/>
      <c r="I1400" s="14"/>
      <c r="J1400" s="14"/>
      <c r="K1400" s="14"/>
      <c r="L1400" s="14"/>
      <c r="M1400" s="14"/>
    </row>
    <row r="1401" spans="2:13" s="7" customFormat="1" ht="13.5">
      <c r="B1401" s="30"/>
      <c r="C1401" s="30"/>
      <c r="D1401" s="31"/>
      <c r="E1401" s="35"/>
      <c r="F1401" s="130"/>
      <c r="G1401" s="14"/>
      <c r="H1401" s="14"/>
      <c r="I1401" s="14"/>
      <c r="J1401" s="14"/>
      <c r="K1401" s="14"/>
      <c r="L1401" s="14"/>
      <c r="M1401" s="14"/>
    </row>
    <row r="1402" spans="2:13" s="7" customFormat="1" ht="13.5">
      <c r="B1402" s="30"/>
      <c r="C1402" s="30"/>
      <c r="D1402" s="31"/>
      <c r="E1402" s="35"/>
      <c r="F1402" s="130"/>
      <c r="G1402" s="14"/>
      <c r="H1402" s="14"/>
      <c r="I1402" s="14"/>
      <c r="J1402" s="14"/>
      <c r="K1402" s="14"/>
      <c r="L1402" s="14"/>
      <c r="M1402" s="14"/>
    </row>
    <row r="1403" spans="2:13" s="7" customFormat="1" ht="13.5">
      <c r="B1403" s="30"/>
      <c r="C1403" s="30"/>
      <c r="D1403" s="31"/>
      <c r="E1403" s="35"/>
      <c r="F1403" s="130"/>
      <c r="G1403" s="14"/>
      <c r="H1403" s="14"/>
      <c r="I1403" s="14"/>
      <c r="J1403" s="14"/>
      <c r="K1403" s="14"/>
      <c r="L1403" s="14"/>
      <c r="M1403" s="14"/>
    </row>
    <row r="1404" spans="2:13" s="7" customFormat="1" ht="13.5">
      <c r="B1404" s="30"/>
      <c r="C1404" s="30"/>
      <c r="D1404" s="31"/>
      <c r="E1404" s="35"/>
      <c r="F1404" s="130"/>
      <c r="G1404" s="14"/>
      <c r="H1404" s="14"/>
      <c r="I1404" s="14"/>
      <c r="J1404" s="14"/>
      <c r="K1404" s="14"/>
      <c r="L1404" s="14"/>
      <c r="M1404" s="14"/>
    </row>
    <row r="1405" spans="2:13" s="7" customFormat="1" ht="13.5">
      <c r="B1405" s="30"/>
      <c r="C1405" s="30"/>
      <c r="D1405" s="31"/>
      <c r="E1405" s="35"/>
      <c r="F1405" s="130"/>
      <c r="G1405" s="14"/>
      <c r="H1405" s="14"/>
      <c r="I1405" s="14"/>
      <c r="J1405" s="14"/>
      <c r="K1405" s="14"/>
      <c r="L1405" s="14"/>
      <c r="M1405" s="14"/>
    </row>
    <row r="1406" spans="2:13" s="7" customFormat="1" ht="13.5">
      <c r="B1406" s="30"/>
      <c r="C1406" s="30"/>
      <c r="D1406" s="31"/>
      <c r="E1406" s="35"/>
      <c r="F1406" s="130"/>
      <c r="G1406" s="14"/>
      <c r="H1406" s="14"/>
      <c r="I1406" s="14"/>
      <c r="J1406" s="14"/>
      <c r="K1406" s="14"/>
      <c r="L1406" s="14"/>
      <c r="M1406" s="14"/>
    </row>
    <row r="1407" spans="2:13" s="7" customFormat="1" ht="13.5">
      <c r="B1407" s="30"/>
      <c r="C1407" s="30"/>
      <c r="D1407" s="31"/>
      <c r="E1407" s="35"/>
      <c r="F1407" s="130"/>
      <c r="G1407" s="14"/>
      <c r="H1407" s="14"/>
      <c r="I1407" s="14"/>
      <c r="J1407" s="14"/>
      <c r="K1407" s="14"/>
      <c r="L1407" s="14"/>
      <c r="M1407" s="14"/>
    </row>
    <row r="1408" spans="2:13" s="7" customFormat="1" ht="13.5">
      <c r="B1408" s="30"/>
      <c r="C1408" s="30"/>
      <c r="D1408" s="31"/>
      <c r="E1408" s="35"/>
      <c r="F1408" s="130"/>
      <c r="G1408" s="14"/>
      <c r="H1408" s="14"/>
      <c r="I1408" s="14"/>
      <c r="J1408" s="14"/>
      <c r="K1408" s="14"/>
      <c r="L1408" s="14"/>
      <c r="M1408" s="14"/>
    </row>
    <row r="1409" spans="2:13" s="7" customFormat="1" ht="13.5">
      <c r="B1409" s="30"/>
      <c r="C1409" s="30"/>
      <c r="D1409" s="31"/>
      <c r="E1409" s="35"/>
      <c r="F1409" s="130"/>
      <c r="G1409" s="14"/>
      <c r="H1409" s="14"/>
      <c r="I1409" s="14"/>
      <c r="J1409" s="14"/>
      <c r="K1409" s="14"/>
      <c r="L1409" s="14"/>
      <c r="M1409" s="14"/>
    </row>
    <row r="1410" spans="2:13" s="7" customFormat="1" ht="13.5">
      <c r="B1410" s="30"/>
      <c r="C1410" s="30"/>
      <c r="D1410" s="31"/>
      <c r="E1410" s="35"/>
      <c r="F1410" s="130"/>
      <c r="G1410" s="14"/>
      <c r="H1410" s="14"/>
      <c r="I1410" s="14"/>
      <c r="J1410" s="14"/>
      <c r="K1410" s="14"/>
      <c r="L1410" s="14"/>
      <c r="M1410" s="14"/>
    </row>
    <row r="1411" spans="2:13" s="7" customFormat="1" ht="13.5">
      <c r="B1411" s="30"/>
      <c r="C1411" s="30"/>
      <c r="D1411" s="31"/>
      <c r="E1411" s="35"/>
      <c r="F1411" s="130"/>
      <c r="G1411" s="14"/>
      <c r="H1411" s="14"/>
      <c r="I1411" s="14"/>
      <c r="J1411" s="14"/>
      <c r="K1411" s="14"/>
      <c r="L1411" s="14"/>
      <c r="M1411" s="14"/>
    </row>
    <row r="1412" spans="2:13" s="7" customFormat="1" ht="13.5">
      <c r="B1412" s="30"/>
      <c r="C1412" s="30"/>
      <c r="D1412" s="31"/>
      <c r="E1412" s="35"/>
      <c r="F1412" s="130"/>
      <c r="G1412" s="14"/>
      <c r="H1412" s="14"/>
      <c r="I1412" s="14"/>
      <c r="J1412" s="14"/>
      <c r="K1412" s="14"/>
      <c r="L1412" s="14"/>
      <c r="M1412" s="14"/>
    </row>
    <row r="1413" spans="2:13" s="7" customFormat="1" ht="13.5">
      <c r="B1413" s="30"/>
      <c r="C1413" s="30"/>
      <c r="D1413" s="31"/>
      <c r="E1413" s="35"/>
      <c r="F1413" s="130"/>
      <c r="G1413" s="14"/>
      <c r="H1413" s="14"/>
      <c r="I1413" s="14"/>
      <c r="J1413" s="14"/>
      <c r="K1413" s="14"/>
      <c r="L1413" s="14"/>
      <c r="M1413" s="14"/>
    </row>
    <row r="1414" spans="2:13" s="7" customFormat="1" ht="13.5">
      <c r="B1414" s="30"/>
      <c r="C1414" s="30"/>
      <c r="D1414" s="31"/>
      <c r="E1414" s="35"/>
      <c r="F1414" s="130"/>
      <c r="G1414" s="14"/>
      <c r="H1414" s="14"/>
      <c r="I1414" s="14"/>
      <c r="J1414" s="14"/>
      <c r="K1414" s="14"/>
      <c r="L1414" s="14"/>
      <c r="M1414" s="14"/>
    </row>
    <row r="1415" spans="2:13" s="7" customFormat="1" ht="13.5">
      <c r="B1415" s="30"/>
      <c r="C1415" s="30"/>
      <c r="D1415" s="31"/>
      <c r="E1415" s="35"/>
      <c r="F1415" s="130"/>
      <c r="G1415" s="14"/>
      <c r="H1415" s="14"/>
      <c r="I1415" s="14"/>
      <c r="J1415" s="14"/>
      <c r="K1415" s="14"/>
      <c r="L1415" s="14"/>
      <c r="M1415" s="14"/>
    </row>
    <row r="1416" spans="2:13" s="7" customFormat="1" ht="13.5">
      <c r="B1416" s="30"/>
      <c r="C1416" s="30"/>
      <c r="D1416" s="31"/>
      <c r="E1416" s="35"/>
      <c r="F1416" s="130"/>
      <c r="G1416" s="14"/>
      <c r="H1416" s="14"/>
      <c r="I1416" s="14"/>
      <c r="J1416" s="14"/>
      <c r="K1416" s="14"/>
      <c r="L1416" s="14"/>
      <c r="M1416" s="14"/>
    </row>
    <row r="1417" spans="2:13" s="7" customFormat="1" ht="13.5">
      <c r="B1417" s="30"/>
      <c r="C1417" s="30"/>
      <c r="D1417" s="31"/>
      <c r="E1417" s="35"/>
      <c r="F1417" s="130"/>
      <c r="G1417" s="14"/>
      <c r="H1417" s="14"/>
      <c r="I1417" s="14"/>
      <c r="J1417" s="14"/>
      <c r="K1417" s="14"/>
      <c r="L1417" s="14"/>
      <c r="M1417" s="14"/>
    </row>
    <row r="1418" spans="2:13" s="7" customFormat="1" ht="13.5">
      <c r="B1418" s="30"/>
      <c r="C1418" s="30"/>
      <c r="D1418" s="31"/>
      <c r="E1418" s="35"/>
      <c r="F1418" s="130"/>
      <c r="G1418" s="14"/>
      <c r="H1418" s="14"/>
      <c r="I1418" s="14"/>
      <c r="J1418" s="14"/>
      <c r="K1418" s="14"/>
      <c r="L1418" s="14"/>
      <c r="M1418" s="14"/>
    </row>
    <row r="1419" spans="2:13" s="7" customFormat="1" ht="13.5">
      <c r="B1419" s="30"/>
      <c r="C1419" s="30"/>
      <c r="D1419" s="31"/>
      <c r="E1419" s="35"/>
      <c r="F1419" s="130"/>
      <c r="G1419" s="14"/>
      <c r="H1419" s="14"/>
      <c r="I1419" s="14"/>
      <c r="J1419" s="14"/>
      <c r="K1419" s="14"/>
      <c r="L1419" s="14"/>
      <c r="M1419" s="14"/>
    </row>
    <row r="1420" spans="2:13" s="7" customFormat="1" ht="13.5">
      <c r="B1420" s="30"/>
      <c r="C1420" s="30"/>
      <c r="D1420" s="31"/>
      <c r="E1420" s="35"/>
      <c r="F1420" s="130"/>
      <c r="G1420" s="14"/>
      <c r="H1420" s="14"/>
      <c r="I1420" s="14"/>
      <c r="J1420" s="14"/>
      <c r="K1420" s="14"/>
      <c r="L1420" s="14"/>
      <c r="M1420" s="14"/>
    </row>
    <row r="1421" spans="2:13" s="7" customFormat="1" ht="13.5">
      <c r="B1421" s="30"/>
      <c r="C1421" s="30"/>
      <c r="D1421" s="31"/>
      <c r="E1421" s="35"/>
      <c r="F1421" s="130"/>
      <c r="G1421" s="14"/>
      <c r="H1421" s="14"/>
      <c r="I1421" s="14"/>
      <c r="J1421" s="14"/>
      <c r="K1421" s="14"/>
      <c r="L1421" s="14"/>
      <c r="M1421" s="14"/>
    </row>
    <row r="1422" spans="2:13" s="7" customFormat="1" ht="13.5">
      <c r="B1422" s="30"/>
      <c r="C1422" s="30"/>
      <c r="D1422" s="31"/>
      <c r="E1422" s="35"/>
      <c r="F1422" s="130"/>
      <c r="G1422" s="14"/>
      <c r="H1422" s="14"/>
      <c r="I1422" s="14"/>
      <c r="J1422" s="14"/>
      <c r="K1422" s="14"/>
      <c r="L1422" s="14"/>
      <c r="M1422" s="14"/>
    </row>
    <row r="1423" spans="2:13" s="7" customFormat="1" ht="13.5">
      <c r="B1423" s="30"/>
      <c r="C1423" s="30"/>
      <c r="D1423" s="31"/>
      <c r="E1423" s="35"/>
      <c r="F1423" s="130"/>
      <c r="G1423" s="14"/>
      <c r="H1423" s="14"/>
      <c r="I1423" s="14"/>
      <c r="J1423" s="14"/>
      <c r="K1423" s="14"/>
      <c r="L1423" s="14"/>
      <c r="M1423" s="14"/>
    </row>
    <row r="1424" spans="2:13" s="7" customFormat="1" ht="13.5">
      <c r="B1424" s="30"/>
      <c r="C1424" s="30"/>
      <c r="D1424" s="31"/>
      <c r="E1424" s="35"/>
      <c r="F1424" s="130"/>
      <c r="G1424" s="14"/>
      <c r="H1424" s="14"/>
      <c r="I1424" s="14"/>
      <c r="J1424" s="14"/>
      <c r="K1424" s="14"/>
      <c r="L1424" s="14"/>
      <c r="M1424" s="14"/>
    </row>
    <row r="1425" spans="2:13" s="7" customFormat="1" ht="13.5">
      <c r="B1425" s="30"/>
      <c r="C1425" s="30"/>
      <c r="D1425" s="31"/>
      <c r="E1425" s="35"/>
      <c r="F1425" s="130"/>
      <c r="G1425" s="14"/>
      <c r="H1425" s="14"/>
      <c r="I1425" s="14"/>
      <c r="J1425" s="14"/>
      <c r="K1425" s="14"/>
      <c r="L1425" s="14"/>
      <c r="M1425" s="14"/>
    </row>
    <row r="1426" spans="2:13" s="7" customFormat="1" ht="13.5">
      <c r="B1426" s="30"/>
      <c r="C1426" s="30"/>
      <c r="D1426" s="31"/>
      <c r="E1426" s="35"/>
      <c r="F1426" s="130"/>
      <c r="G1426" s="14"/>
      <c r="H1426" s="14"/>
      <c r="I1426" s="14"/>
      <c r="J1426" s="14"/>
      <c r="K1426" s="14"/>
      <c r="L1426" s="14"/>
      <c r="M1426" s="14"/>
    </row>
    <row r="1427" spans="2:13" s="7" customFormat="1" ht="13.5">
      <c r="B1427" s="30"/>
      <c r="C1427" s="30"/>
      <c r="D1427" s="31"/>
      <c r="E1427" s="35"/>
      <c r="F1427" s="130"/>
      <c r="G1427" s="14"/>
      <c r="H1427" s="14"/>
      <c r="I1427" s="14"/>
      <c r="J1427" s="14"/>
      <c r="K1427" s="14"/>
      <c r="L1427" s="14"/>
      <c r="M1427" s="14"/>
    </row>
    <row r="1428" spans="2:13" s="7" customFormat="1" ht="13.5">
      <c r="B1428" s="30"/>
      <c r="C1428" s="30"/>
      <c r="D1428" s="31"/>
      <c r="E1428" s="35"/>
      <c r="F1428" s="130"/>
      <c r="G1428" s="14"/>
      <c r="H1428" s="14"/>
      <c r="I1428" s="14"/>
      <c r="J1428" s="14"/>
      <c r="K1428" s="14"/>
      <c r="L1428" s="14"/>
      <c r="M1428" s="14"/>
    </row>
    <row r="1429" spans="2:13" s="7" customFormat="1" ht="13.5">
      <c r="B1429" s="30"/>
      <c r="C1429" s="30"/>
      <c r="D1429" s="31"/>
      <c r="E1429" s="35"/>
      <c r="F1429" s="130"/>
      <c r="G1429" s="14"/>
      <c r="H1429" s="14"/>
      <c r="I1429" s="14"/>
      <c r="J1429" s="14"/>
      <c r="K1429" s="14"/>
      <c r="L1429" s="14"/>
      <c r="M1429" s="14"/>
    </row>
    <row r="1430" spans="2:13" s="7" customFormat="1" ht="13.5">
      <c r="B1430" s="30"/>
      <c r="C1430" s="30"/>
      <c r="D1430" s="31"/>
      <c r="E1430" s="35"/>
      <c r="F1430" s="130"/>
      <c r="G1430" s="14"/>
      <c r="H1430" s="14"/>
      <c r="I1430" s="14"/>
      <c r="J1430" s="14"/>
      <c r="K1430" s="14"/>
      <c r="L1430" s="14"/>
      <c r="M1430" s="14"/>
    </row>
    <row r="1431" spans="2:13" s="7" customFormat="1" ht="13.5">
      <c r="B1431" s="30"/>
      <c r="C1431" s="30"/>
      <c r="D1431" s="31"/>
      <c r="E1431" s="35"/>
      <c r="F1431" s="130"/>
      <c r="G1431" s="14"/>
      <c r="H1431" s="14"/>
      <c r="I1431" s="14"/>
      <c r="J1431" s="14"/>
      <c r="K1431" s="14"/>
      <c r="L1431" s="14"/>
      <c r="M1431" s="14"/>
    </row>
    <row r="1432" spans="2:13" s="7" customFormat="1" ht="13.5">
      <c r="B1432" s="30"/>
      <c r="C1432" s="30"/>
      <c r="D1432" s="31"/>
      <c r="E1432" s="35"/>
      <c r="F1432" s="130"/>
      <c r="G1432" s="14"/>
      <c r="H1432" s="14"/>
      <c r="I1432" s="14"/>
      <c r="J1432" s="14"/>
      <c r="K1432" s="14"/>
      <c r="L1432" s="14"/>
      <c r="M1432" s="14"/>
    </row>
    <row r="1433" spans="2:13" s="7" customFormat="1" ht="13.5">
      <c r="B1433" s="30"/>
      <c r="C1433" s="30"/>
      <c r="D1433" s="31"/>
      <c r="E1433" s="35"/>
      <c r="F1433" s="130"/>
      <c r="G1433" s="14"/>
      <c r="H1433" s="14"/>
      <c r="I1433" s="14"/>
      <c r="J1433" s="14"/>
      <c r="K1433" s="14"/>
      <c r="L1433" s="14"/>
      <c r="M1433" s="14"/>
    </row>
    <row r="1434" spans="2:13" s="7" customFormat="1" ht="13.5">
      <c r="B1434" s="30"/>
      <c r="C1434" s="30"/>
      <c r="D1434" s="31"/>
      <c r="E1434" s="35"/>
      <c r="F1434" s="130"/>
      <c r="G1434" s="14"/>
      <c r="H1434" s="14"/>
      <c r="I1434" s="14"/>
      <c r="J1434" s="14"/>
      <c r="K1434" s="14"/>
      <c r="L1434" s="14"/>
      <c r="M1434" s="14"/>
    </row>
    <row r="1435" spans="2:13" s="7" customFormat="1" ht="13.5">
      <c r="B1435" s="30"/>
      <c r="C1435" s="30"/>
      <c r="D1435" s="31"/>
      <c r="E1435" s="35"/>
      <c r="F1435" s="130"/>
      <c r="G1435" s="14"/>
      <c r="H1435" s="14"/>
      <c r="I1435" s="14"/>
      <c r="J1435" s="14"/>
      <c r="K1435" s="14"/>
      <c r="L1435" s="14"/>
      <c r="M1435" s="14"/>
    </row>
    <row r="1436" spans="2:13" s="7" customFormat="1" ht="13.5">
      <c r="B1436" s="30"/>
      <c r="C1436" s="30"/>
      <c r="D1436" s="31"/>
      <c r="E1436" s="35"/>
      <c r="F1436" s="130"/>
      <c r="G1436" s="14"/>
      <c r="H1436" s="14"/>
      <c r="I1436" s="14"/>
      <c r="J1436" s="14"/>
      <c r="K1436" s="14"/>
      <c r="L1436" s="14"/>
      <c r="M1436" s="14"/>
    </row>
    <row r="1437" spans="2:13" s="7" customFormat="1" ht="13.5">
      <c r="B1437" s="30"/>
      <c r="C1437" s="30"/>
      <c r="D1437" s="31"/>
      <c r="E1437" s="35"/>
      <c r="F1437" s="130"/>
      <c r="G1437" s="14"/>
      <c r="H1437" s="14"/>
      <c r="I1437" s="14"/>
      <c r="J1437" s="14"/>
      <c r="K1437" s="14"/>
      <c r="L1437" s="14"/>
      <c r="M1437" s="14"/>
    </row>
    <row r="1438" spans="2:13" s="7" customFormat="1" ht="13.5">
      <c r="B1438" s="30"/>
      <c r="C1438" s="30"/>
      <c r="D1438" s="31"/>
      <c r="E1438" s="35"/>
      <c r="F1438" s="130"/>
      <c r="G1438" s="14"/>
      <c r="H1438" s="14"/>
      <c r="I1438" s="14"/>
      <c r="J1438" s="14"/>
      <c r="K1438" s="14"/>
      <c r="L1438" s="14"/>
      <c r="M1438" s="14"/>
    </row>
    <row r="1439" spans="2:13" s="7" customFormat="1" ht="13.5">
      <c r="B1439" s="30"/>
      <c r="C1439" s="30"/>
      <c r="D1439" s="31"/>
      <c r="E1439" s="35"/>
      <c r="F1439" s="130"/>
      <c r="G1439" s="14"/>
      <c r="H1439" s="14"/>
      <c r="I1439" s="14"/>
      <c r="J1439" s="14"/>
      <c r="K1439" s="14"/>
      <c r="L1439" s="14"/>
      <c r="M1439" s="14"/>
    </row>
    <row r="1440" spans="2:13" s="7" customFormat="1" ht="13.5">
      <c r="B1440" s="30"/>
      <c r="C1440" s="30"/>
      <c r="D1440" s="31"/>
      <c r="E1440" s="35"/>
      <c r="F1440" s="130"/>
      <c r="G1440" s="14"/>
      <c r="H1440" s="14"/>
      <c r="I1440" s="14"/>
      <c r="J1440" s="14"/>
      <c r="K1440" s="14"/>
      <c r="L1440" s="14"/>
      <c r="M1440" s="14"/>
    </row>
    <row r="1441" spans="2:13" s="7" customFormat="1" ht="13.5">
      <c r="B1441" s="30"/>
      <c r="C1441" s="30"/>
      <c r="D1441" s="31"/>
      <c r="E1441" s="35"/>
      <c r="F1441" s="130"/>
      <c r="G1441" s="14"/>
      <c r="H1441" s="14"/>
      <c r="I1441" s="14"/>
      <c r="J1441" s="14"/>
      <c r="K1441" s="14"/>
      <c r="L1441" s="14"/>
      <c r="M1441" s="14"/>
    </row>
    <row r="1442" spans="2:13" s="7" customFormat="1" ht="13.5">
      <c r="B1442" s="30"/>
      <c r="C1442" s="30"/>
      <c r="D1442" s="31"/>
      <c r="E1442" s="35"/>
      <c r="F1442" s="130"/>
      <c r="G1442" s="14"/>
      <c r="H1442" s="14"/>
      <c r="I1442" s="14"/>
      <c r="J1442" s="14"/>
      <c r="K1442" s="14"/>
      <c r="L1442" s="14"/>
      <c r="M1442" s="14"/>
    </row>
    <row r="1443" spans="2:13" s="7" customFormat="1" ht="13.5">
      <c r="B1443" s="30"/>
      <c r="C1443" s="30"/>
      <c r="D1443" s="31"/>
      <c r="E1443" s="35"/>
      <c r="F1443" s="130"/>
      <c r="G1443" s="14"/>
      <c r="H1443" s="14"/>
      <c r="I1443" s="14"/>
      <c r="J1443" s="14"/>
      <c r="K1443" s="14"/>
      <c r="L1443" s="14"/>
      <c r="M1443" s="14"/>
    </row>
    <row r="1444" spans="2:13" s="7" customFormat="1" ht="13.5">
      <c r="B1444" s="30"/>
      <c r="C1444" s="30"/>
      <c r="D1444" s="31"/>
      <c r="E1444" s="35"/>
      <c r="F1444" s="130"/>
      <c r="G1444" s="14"/>
      <c r="H1444" s="14"/>
      <c r="I1444" s="14"/>
      <c r="J1444" s="14"/>
      <c r="K1444" s="14"/>
      <c r="L1444" s="14"/>
      <c r="M1444" s="14"/>
    </row>
    <row r="1445" spans="2:13" s="7" customFormat="1" ht="13.5">
      <c r="B1445" s="30"/>
      <c r="C1445" s="30"/>
      <c r="D1445" s="31"/>
      <c r="E1445" s="35"/>
      <c r="F1445" s="130"/>
      <c r="G1445" s="14"/>
      <c r="H1445" s="14"/>
      <c r="I1445" s="14"/>
      <c r="J1445" s="14"/>
      <c r="K1445" s="14"/>
      <c r="L1445" s="14"/>
      <c r="M1445" s="14"/>
    </row>
    <row r="1446" spans="2:13" s="7" customFormat="1" ht="13.5">
      <c r="B1446" s="30"/>
      <c r="C1446" s="30"/>
      <c r="D1446" s="31"/>
      <c r="E1446" s="35"/>
      <c r="F1446" s="130"/>
      <c r="G1446" s="14"/>
      <c r="H1446" s="14"/>
      <c r="I1446" s="14"/>
      <c r="J1446" s="14"/>
      <c r="K1446" s="14"/>
      <c r="L1446" s="14"/>
      <c r="M1446" s="14"/>
    </row>
    <row r="1447" spans="2:13" s="7" customFormat="1" ht="13.5">
      <c r="B1447" s="30"/>
      <c r="C1447" s="30"/>
      <c r="D1447" s="31"/>
      <c r="E1447" s="35"/>
      <c r="F1447" s="130"/>
      <c r="G1447" s="14"/>
      <c r="H1447" s="14"/>
      <c r="I1447" s="14"/>
      <c r="J1447" s="14"/>
      <c r="K1447" s="14"/>
      <c r="L1447" s="14"/>
      <c r="M1447" s="14"/>
    </row>
    <row r="1448" spans="2:13" s="7" customFormat="1" ht="13.5">
      <c r="B1448" s="30"/>
      <c r="C1448" s="30"/>
      <c r="D1448" s="31"/>
      <c r="E1448" s="35"/>
      <c r="F1448" s="130"/>
      <c r="G1448" s="14"/>
      <c r="H1448" s="14"/>
      <c r="I1448" s="14"/>
      <c r="J1448" s="14"/>
      <c r="K1448" s="14"/>
      <c r="L1448" s="14"/>
      <c r="M1448" s="14"/>
    </row>
    <row r="1449" spans="2:13" s="7" customFormat="1" ht="13.5">
      <c r="B1449" s="30"/>
      <c r="C1449" s="30"/>
      <c r="D1449" s="31"/>
      <c r="E1449" s="35"/>
      <c r="F1449" s="130"/>
      <c r="G1449" s="14"/>
      <c r="H1449" s="14"/>
      <c r="I1449" s="14"/>
      <c r="J1449" s="14"/>
      <c r="K1449" s="14"/>
      <c r="L1449" s="14"/>
      <c r="M1449" s="14"/>
    </row>
    <row r="1450" spans="2:13" s="7" customFormat="1" ht="13.5">
      <c r="B1450" s="30"/>
      <c r="C1450" s="30"/>
      <c r="D1450" s="31"/>
      <c r="E1450" s="35"/>
      <c r="F1450" s="130"/>
      <c r="G1450" s="14"/>
      <c r="H1450" s="14"/>
      <c r="I1450" s="14"/>
      <c r="J1450" s="14"/>
      <c r="K1450" s="14"/>
      <c r="L1450" s="14"/>
      <c r="M1450" s="14"/>
    </row>
    <row r="1451" spans="2:13" s="7" customFormat="1" ht="13.5">
      <c r="B1451" s="30"/>
      <c r="C1451" s="30"/>
      <c r="D1451" s="31"/>
      <c r="E1451" s="35"/>
      <c r="F1451" s="130"/>
      <c r="G1451" s="14"/>
      <c r="H1451" s="14"/>
      <c r="I1451" s="14"/>
      <c r="J1451" s="14"/>
      <c r="K1451" s="14"/>
      <c r="L1451" s="14"/>
      <c r="M1451" s="14"/>
    </row>
    <row r="1452" spans="2:13" s="7" customFormat="1" ht="13.5">
      <c r="B1452" s="30"/>
      <c r="C1452" s="30"/>
      <c r="D1452" s="31"/>
      <c r="E1452" s="35"/>
      <c r="F1452" s="130"/>
      <c r="G1452" s="14"/>
      <c r="H1452" s="14"/>
      <c r="I1452" s="14"/>
      <c r="J1452" s="14"/>
      <c r="K1452" s="14"/>
      <c r="L1452" s="14"/>
      <c r="M1452" s="14"/>
    </row>
    <row r="1453" spans="2:13" s="7" customFormat="1" ht="13.5">
      <c r="B1453" s="30"/>
      <c r="C1453" s="30"/>
      <c r="D1453" s="31"/>
      <c r="E1453" s="35"/>
      <c r="F1453" s="130"/>
      <c r="G1453" s="14"/>
      <c r="H1453" s="14"/>
      <c r="I1453" s="14"/>
      <c r="J1453" s="14"/>
      <c r="K1453" s="14"/>
      <c r="L1453" s="14"/>
      <c r="M1453" s="14"/>
    </row>
    <row r="1454" spans="2:13" s="7" customFormat="1" ht="13.5">
      <c r="B1454" s="30"/>
      <c r="C1454" s="30"/>
      <c r="D1454" s="31"/>
      <c r="E1454" s="35"/>
      <c r="F1454" s="130"/>
      <c r="G1454" s="14"/>
      <c r="H1454" s="14"/>
      <c r="I1454" s="14"/>
      <c r="J1454" s="14"/>
      <c r="K1454" s="14"/>
      <c r="L1454" s="14"/>
      <c r="M1454" s="14"/>
    </row>
    <row r="1455" spans="2:13" s="7" customFormat="1" ht="13.5">
      <c r="B1455" s="30"/>
      <c r="C1455" s="30"/>
      <c r="D1455" s="31"/>
      <c r="E1455" s="35"/>
      <c r="F1455" s="130"/>
      <c r="G1455" s="14"/>
      <c r="H1455" s="14"/>
      <c r="I1455" s="14"/>
      <c r="J1455" s="14"/>
      <c r="K1455" s="14"/>
      <c r="L1455" s="14"/>
      <c r="M1455" s="14"/>
    </row>
    <row r="1456" spans="2:13" s="7" customFormat="1" ht="13.5">
      <c r="B1456" s="30"/>
      <c r="C1456" s="30"/>
      <c r="D1456" s="31"/>
      <c r="E1456" s="35"/>
      <c r="F1456" s="130"/>
      <c r="G1456" s="14"/>
      <c r="H1456" s="14"/>
      <c r="I1456" s="14"/>
      <c r="J1456" s="14"/>
      <c r="K1456" s="14"/>
      <c r="L1456" s="14"/>
      <c r="M1456" s="14"/>
    </row>
    <row r="1457" spans="2:13" s="7" customFormat="1" ht="13.5">
      <c r="B1457" s="30"/>
      <c r="C1457" s="30"/>
      <c r="D1457" s="31"/>
      <c r="E1457" s="35"/>
      <c r="F1457" s="130"/>
      <c r="G1457" s="14"/>
      <c r="H1457" s="14"/>
      <c r="I1457" s="14"/>
      <c r="J1457" s="14"/>
      <c r="K1457" s="14"/>
      <c r="L1457" s="14"/>
      <c r="M1457" s="14"/>
    </row>
    <row r="1458" spans="2:13" s="7" customFormat="1" ht="13.5">
      <c r="B1458" s="30"/>
      <c r="C1458" s="30"/>
      <c r="D1458" s="31"/>
      <c r="E1458" s="35"/>
      <c r="F1458" s="130"/>
      <c r="G1458" s="14"/>
      <c r="H1458" s="14"/>
      <c r="I1458" s="14"/>
      <c r="J1458" s="14"/>
      <c r="K1458" s="14"/>
      <c r="L1458" s="14"/>
      <c r="M1458" s="14"/>
    </row>
    <row r="1459" spans="2:13" s="7" customFormat="1" ht="13.5">
      <c r="B1459" s="30"/>
      <c r="C1459" s="30"/>
      <c r="D1459" s="31"/>
      <c r="E1459" s="35"/>
      <c r="F1459" s="130"/>
      <c r="G1459" s="14"/>
      <c r="H1459" s="14"/>
      <c r="I1459" s="14"/>
      <c r="J1459" s="14"/>
      <c r="K1459" s="14"/>
      <c r="L1459" s="14"/>
      <c r="M1459" s="14"/>
    </row>
    <row r="1460" spans="2:13" s="7" customFormat="1" ht="13.5">
      <c r="B1460" s="30"/>
      <c r="C1460" s="30"/>
      <c r="D1460" s="31"/>
      <c r="E1460" s="35"/>
      <c r="F1460" s="130"/>
      <c r="G1460" s="14"/>
      <c r="H1460" s="14"/>
      <c r="I1460" s="14"/>
      <c r="J1460" s="14"/>
      <c r="K1460" s="14"/>
      <c r="L1460" s="14"/>
      <c r="M1460" s="14"/>
    </row>
    <row r="1461" spans="2:13" s="7" customFormat="1" ht="13.5">
      <c r="B1461" s="30"/>
      <c r="C1461" s="30"/>
      <c r="D1461" s="31"/>
      <c r="E1461" s="35"/>
      <c r="F1461" s="130"/>
      <c r="G1461" s="14"/>
      <c r="H1461" s="14"/>
      <c r="I1461" s="14"/>
      <c r="J1461" s="14"/>
      <c r="K1461" s="14"/>
      <c r="L1461" s="14"/>
      <c r="M1461" s="14"/>
    </row>
    <row r="1462" spans="2:13" s="7" customFormat="1" ht="13.5">
      <c r="B1462" s="30"/>
      <c r="C1462" s="30"/>
      <c r="D1462" s="31"/>
      <c r="E1462" s="35"/>
      <c r="F1462" s="130"/>
      <c r="G1462" s="14"/>
      <c r="H1462" s="14"/>
      <c r="I1462" s="14"/>
      <c r="J1462" s="14"/>
      <c r="K1462" s="14"/>
      <c r="L1462" s="14"/>
      <c r="M1462" s="14"/>
    </row>
    <row r="1463" spans="2:13" s="7" customFormat="1" ht="13.5">
      <c r="B1463" s="30"/>
      <c r="C1463" s="30"/>
      <c r="D1463" s="31"/>
      <c r="E1463" s="35"/>
      <c r="F1463" s="130"/>
      <c r="G1463" s="14"/>
      <c r="H1463" s="14"/>
      <c r="I1463" s="14"/>
      <c r="J1463" s="14"/>
      <c r="K1463" s="14"/>
      <c r="L1463" s="14"/>
      <c r="M1463" s="14"/>
    </row>
    <row r="1464" spans="2:13" s="7" customFormat="1" ht="13.5">
      <c r="B1464" s="30"/>
      <c r="C1464" s="30"/>
      <c r="D1464" s="31"/>
      <c r="E1464" s="35"/>
      <c r="F1464" s="130"/>
      <c r="G1464" s="14"/>
      <c r="H1464" s="14"/>
      <c r="I1464" s="14"/>
      <c r="J1464" s="14"/>
      <c r="K1464" s="14"/>
      <c r="L1464" s="14"/>
      <c r="M1464" s="14"/>
    </row>
    <row r="1465" spans="2:13" s="7" customFormat="1" ht="13.5">
      <c r="B1465" s="30"/>
      <c r="C1465" s="30"/>
      <c r="D1465" s="31"/>
      <c r="E1465" s="35"/>
      <c r="F1465" s="130"/>
      <c r="G1465" s="14"/>
      <c r="H1465" s="14"/>
      <c r="I1465" s="14"/>
      <c r="J1465" s="14"/>
      <c r="K1465" s="14"/>
      <c r="L1465" s="14"/>
      <c r="M1465" s="14"/>
    </row>
    <row r="1466" spans="2:13" s="7" customFormat="1" ht="13.5">
      <c r="B1466" s="30"/>
      <c r="C1466" s="30"/>
      <c r="D1466" s="31"/>
      <c r="E1466" s="35"/>
      <c r="F1466" s="130"/>
      <c r="G1466" s="14"/>
      <c r="H1466" s="14"/>
      <c r="I1466" s="14"/>
      <c r="J1466" s="14"/>
      <c r="K1466" s="14"/>
      <c r="L1466" s="14"/>
      <c r="M1466" s="14"/>
    </row>
    <row r="1467" spans="2:13" s="7" customFormat="1" ht="13.5">
      <c r="B1467" s="30"/>
      <c r="C1467" s="30"/>
      <c r="D1467" s="31"/>
      <c r="E1467" s="35"/>
      <c r="F1467" s="130"/>
      <c r="G1467" s="14"/>
      <c r="H1467" s="14"/>
      <c r="I1467" s="14"/>
      <c r="J1467" s="14"/>
      <c r="K1467" s="14"/>
      <c r="L1467" s="14"/>
      <c r="M1467" s="14"/>
    </row>
    <row r="1468" spans="2:13" s="7" customFormat="1" ht="13.5">
      <c r="B1468" s="30"/>
      <c r="C1468" s="30"/>
      <c r="D1468" s="31"/>
      <c r="E1468" s="35"/>
      <c r="F1468" s="130"/>
      <c r="G1468" s="14"/>
      <c r="H1468" s="14"/>
      <c r="I1468" s="14"/>
      <c r="J1468" s="14"/>
      <c r="K1468" s="14"/>
      <c r="L1468" s="14"/>
      <c r="M1468" s="14"/>
    </row>
    <row r="1469" spans="2:13" s="7" customFormat="1" ht="13.5">
      <c r="B1469" s="30"/>
      <c r="C1469" s="30"/>
      <c r="D1469" s="31"/>
      <c r="E1469" s="35"/>
      <c r="F1469" s="130"/>
      <c r="G1469" s="14"/>
      <c r="H1469" s="14"/>
      <c r="I1469" s="14"/>
      <c r="J1469" s="14"/>
      <c r="K1469" s="14"/>
      <c r="L1469" s="14"/>
      <c r="M1469" s="14"/>
    </row>
    <row r="1470" spans="2:13" s="7" customFormat="1" ht="13.5">
      <c r="B1470" s="30"/>
      <c r="C1470" s="30"/>
      <c r="D1470" s="31"/>
      <c r="E1470" s="35"/>
      <c r="F1470" s="130"/>
      <c r="G1470" s="14"/>
      <c r="H1470" s="14"/>
      <c r="I1470" s="14"/>
      <c r="J1470" s="14"/>
      <c r="K1470" s="14"/>
      <c r="L1470" s="14"/>
      <c r="M1470" s="14"/>
    </row>
    <row r="1471" spans="2:13" s="7" customFormat="1" ht="13.5">
      <c r="B1471" s="30"/>
      <c r="C1471" s="30"/>
      <c r="D1471" s="31"/>
      <c r="E1471" s="35"/>
      <c r="F1471" s="130"/>
      <c r="G1471" s="14"/>
      <c r="H1471" s="14"/>
      <c r="I1471" s="14"/>
      <c r="J1471" s="14"/>
      <c r="K1471" s="14"/>
      <c r="L1471" s="14"/>
      <c r="M1471" s="14"/>
    </row>
    <row r="1472" spans="2:13" s="7" customFormat="1" ht="13.5">
      <c r="B1472" s="30"/>
      <c r="C1472" s="30"/>
      <c r="D1472" s="31"/>
      <c r="E1472" s="35"/>
      <c r="F1472" s="130"/>
      <c r="G1472" s="14"/>
      <c r="H1472" s="14"/>
      <c r="I1472" s="14"/>
      <c r="J1472" s="14"/>
      <c r="K1472" s="14"/>
      <c r="L1472" s="14"/>
      <c r="M1472" s="14"/>
    </row>
    <row r="1473" spans="2:13" s="7" customFormat="1" ht="13.5">
      <c r="B1473" s="30"/>
      <c r="C1473" s="30"/>
      <c r="D1473" s="31"/>
      <c r="E1473" s="35"/>
      <c r="F1473" s="130"/>
      <c r="G1473" s="14"/>
      <c r="H1473" s="14"/>
      <c r="I1473" s="14"/>
      <c r="J1473" s="14"/>
      <c r="K1473" s="14"/>
      <c r="L1473" s="14"/>
      <c r="M1473" s="14"/>
    </row>
    <row r="1474" spans="2:13" s="7" customFormat="1" ht="13.5">
      <c r="B1474" s="30"/>
      <c r="C1474" s="30"/>
      <c r="D1474" s="31"/>
      <c r="E1474" s="35"/>
      <c r="F1474" s="130"/>
      <c r="G1474" s="14"/>
      <c r="H1474" s="14"/>
      <c r="I1474" s="14"/>
      <c r="J1474" s="14"/>
      <c r="K1474" s="14"/>
      <c r="L1474" s="14"/>
      <c r="M1474" s="14"/>
    </row>
    <row r="1475" spans="2:13" s="7" customFormat="1" ht="13.5">
      <c r="B1475" s="30"/>
      <c r="C1475" s="30"/>
      <c r="D1475" s="31"/>
      <c r="E1475" s="35"/>
      <c r="F1475" s="130"/>
      <c r="G1475" s="14"/>
      <c r="H1475" s="14"/>
      <c r="I1475" s="14"/>
      <c r="J1475" s="14"/>
      <c r="K1475" s="14"/>
      <c r="L1475" s="14"/>
      <c r="M1475" s="14"/>
    </row>
    <row r="1476" spans="2:13" s="7" customFormat="1" ht="13.5">
      <c r="B1476" s="30"/>
      <c r="C1476" s="30"/>
      <c r="D1476" s="31"/>
      <c r="E1476" s="35"/>
      <c r="F1476" s="130"/>
      <c r="G1476" s="14"/>
      <c r="H1476" s="14"/>
      <c r="I1476" s="14"/>
      <c r="J1476" s="14"/>
      <c r="K1476" s="14"/>
      <c r="L1476" s="14"/>
      <c r="M1476" s="14"/>
    </row>
    <row r="1477" spans="2:13" s="7" customFormat="1" ht="13.5">
      <c r="B1477" s="30"/>
      <c r="C1477" s="30"/>
      <c r="D1477" s="31"/>
      <c r="E1477" s="35"/>
      <c r="F1477" s="130"/>
      <c r="G1477" s="14"/>
      <c r="H1477" s="14"/>
      <c r="I1477" s="14"/>
      <c r="J1477" s="14"/>
      <c r="K1477" s="14"/>
      <c r="L1477" s="14"/>
      <c r="M1477" s="14"/>
    </row>
    <row r="1478" spans="2:13" s="7" customFormat="1" ht="13.5">
      <c r="B1478" s="30"/>
      <c r="C1478" s="30"/>
      <c r="D1478" s="31"/>
      <c r="E1478" s="35"/>
      <c r="F1478" s="130"/>
      <c r="G1478" s="14"/>
      <c r="H1478" s="14"/>
      <c r="I1478" s="14"/>
      <c r="J1478" s="14"/>
      <c r="K1478" s="14"/>
      <c r="L1478" s="14"/>
      <c r="M1478" s="14"/>
    </row>
    <row r="1479" spans="2:13" s="7" customFormat="1" ht="13.5">
      <c r="B1479" s="30"/>
      <c r="C1479" s="30"/>
      <c r="D1479" s="31"/>
      <c r="E1479" s="35"/>
      <c r="F1479" s="130"/>
      <c r="G1479" s="14"/>
      <c r="H1479" s="14"/>
      <c r="I1479" s="14"/>
      <c r="J1479" s="14"/>
      <c r="K1479" s="14"/>
      <c r="L1479" s="14"/>
      <c r="M1479" s="14"/>
    </row>
    <row r="1480" spans="2:13" s="7" customFormat="1" ht="13.5">
      <c r="B1480" s="30"/>
      <c r="C1480" s="30"/>
      <c r="D1480" s="31"/>
      <c r="E1480" s="35"/>
      <c r="F1480" s="130"/>
      <c r="G1480" s="14"/>
      <c r="H1480" s="14"/>
      <c r="I1480" s="14"/>
      <c r="J1480" s="14"/>
      <c r="K1480" s="14"/>
      <c r="L1480" s="14"/>
      <c r="M1480" s="14"/>
    </row>
    <row r="1481" spans="2:13" s="7" customFormat="1" ht="13.5">
      <c r="B1481" s="30"/>
      <c r="C1481" s="30"/>
      <c r="D1481" s="31"/>
      <c r="E1481" s="35"/>
      <c r="F1481" s="130"/>
      <c r="G1481" s="14"/>
      <c r="H1481" s="14"/>
      <c r="I1481" s="14"/>
      <c r="J1481" s="14"/>
      <c r="K1481" s="14"/>
      <c r="L1481" s="14"/>
      <c r="M1481" s="14"/>
    </row>
    <row r="1482" spans="2:13" s="7" customFormat="1" ht="13.5">
      <c r="B1482" s="30"/>
      <c r="C1482" s="30"/>
      <c r="D1482" s="31"/>
      <c r="E1482" s="35"/>
      <c r="F1482" s="130"/>
      <c r="G1482" s="14"/>
      <c r="H1482" s="14"/>
      <c r="I1482" s="14"/>
      <c r="J1482" s="14"/>
      <c r="K1482" s="14"/>
      <c r="L1482" s="14"/>
      <c r="M1482" s="14"/>
    </row>
    <row r="1483" spans="2:13" s="7" customFormat="1" ht="13.5">
      <c r="B1483" s="30"/>
      <c r="C1483" s="30"/>
      <c r="D1483" s="31"/>
      <c r="E1483" s="35"/>
      <c r="F1483" s="130"/>
      <c r="G1483" s="14"/>
      <c r="H1483" s="14"/>
      <c r="I1483" s="14"/>
      <c r="J1483" s="14"/>
      <c r="K1483" s="14"/>
      <c r="L1483" s="14"/>
      <c r="M1483" s="14"/>
    </row>
    <row r="1484" spans="2:13" s="7" customFormat="1" ht="13.5">
      <c r="B1484" s="30"/>
      <c r="C1484" s="30"/>
      <c r="D1484" s="31"/>
      <c r="E1484" s="35"/>
      <c r="F1484" s="130"/>
      <c r="G1484" s="14"/>
      <c r="H1484" s="14"/>
      <c r="I1484" s="14"/>
      <c r="J1484" s="14"/>
      <c r="K1484" s="14"/>
      <c r="L1484" s="14"/>
      <c r="M1484" s="14"/>
    </row>
    <row r="1485" spans="2:13" s="7" customFormat="1" ht="13.5">
      <c r="B1485" s="30"/>
      <c r="C1485" s="30"/>
      <c r="D1485" s="31"/>
      <c r="E1485" s="35"/>
      <c r="F1485" s="130"/>
      <c r="G1485" s="14"/>
      <c r="H1485" s="14"/>
      <c r="I1485" s="14"/>
      <c r="J1485" s="14"/>
      <c r="K1485" s="14"/>
      <c r="L1485" s="14"/>
      <c r="M1485" s="14"/>
    </row>
    <row r="1486" spans="2:13" s="7" customFormat="1" ht="13.5">
      <c r="B1486" s="30"/>
      <c r="C1486" s="30"/>
      <c r="D1486" s="31"/>
      <c r="E1486" s="35"/>
      <c r="F1486" s="130"/>
      <c r="G1486" s="14"/>
      <c r="H1486" s="14"/>
      <c r="I1486" s="14"/>
      <c r="J1486" s="14"/>
      <c r="K1486" s="14"/>
      <c r="L1486" s="14"/>
      <c r="M1486" s="14"/>
    </row>
    <row r="1487" spans="2:13" s="7" customFormat="1" ht="13.5">
      <c r="B1487" s="30"/>
      <c r="C1487" s="30"/>
      <c r="D1487" s="31"/>
      <c r="E1487" s="35"/>
      <c r="F1487" s="130"/>
      <c r="G1487" s="14"/>
      <c r="H1487" s="14"/>
      <c r="I1487" s="14"/>
      <c r="J1487" s="14"/>
      <c r="K1487" s="14"/>
      <c r="L1487" s="14"/>
      <c r="M1487" s="14"/>
    </row>
    <row r="1488" spans="2:13" s="7" customFormat="1" ht="13.5">
      <c r="B1488" s="30"/>
      <c r="C1488" s="30"/>
      <c r="D1488" s="31"/>
      <c r="E1488" s="35"/>
      <c r="F1488" s="130"/>
      <c r="G1488" s="14"/>
      <c r="H1488" s="14"/>
      <c r="I1488" s="14"/>
      <c r="J1488" s="14"/>
      <c r="K1488" s="14"/>
      <c r="L1488" s="14"/>
      <c r="M1488" s="14"/>
    </row>
    <row r="1489" spans="2:13" s="7" customFormat="1" ht="13.5">
      <c r="B1489" s="30"/>
      <c r="C1489" s="30"/>
      <c r="D1489" s="31"/>
      <c r="E1489" s="35"/>
      <c r="F1489" s="130"/>
      <c r="G1489" s="14"/>
      <c r="H1489" s="14"/>
      <c r="I1489" s="14"/>
      <c r="J1489" s="14"/>
      <c r="K1489" s="14"/>
      <c r="L1489" s="14"/>
      <c r="M1489" s="14"/>
    </row>
    <row r="1490" spans="2:13" s="7" customFormat="1" ht="13.5">
      <c r="B1490" s="30"/>
      <c r="C1490" s="30"/>
      <c r="D1490" s="31"/>
      <c r="E1490" s="35"/>
      <c r="F1490" s="130"/>
      <c r="G1490" s="14"/>
      <c r="H1490" s="14"/>
      <c r="I1490" s="14"/>
      <c r="J1490" s="14"/>
      <c r="K1490" s="14"/>
      <c r="L1490" s="14"/>
      <c r="M1490" s="14"/>
    </row>
    <row r="1491" spans="2:13" s="7" customFormat="1" ht="13.5">
      <c r="B1491" s="30"/>
      <c r="C1491" s="30"/>
      <c r="D1491" s="31"/>
      <c r="E1491" s="35"/>
      <c r="F1491" s="130"/>
      <c r="G1491" s="14"/>
      <c r="H1491" s="14"/>
      <c r="I1491" s="14"/>
      <c r="J1491" s="14"/>
      <c r="K1491" s="14"/>
      <c r="L1491" s="14"/>
      <c r="M1491" s="14"/>
    </row>
    <row r="1492" spans="2:13" s="7" customFormat="1" ht="13.5">
      <c r="B1492" s="30"/>
      <c r="C1492" s="30"/>
      <c r="D1492" s="31"/>
      <c r="E1492" s="35"/>
      <c r="F1492" s="130"/>
      <c r="G1492" s="14"/>
      <c r="H1492" s="14"/>
      <c r="I1492" s="14"/>
      <c r="J1492" s="14"/>
      <c r="K1492" s="14"/>
      <c r="L1492" s="14"/>
      <c r="M1492" s="14"/>
    </row>
    <row r="1493" spans="2:13" s="7" customFormat="1" ht="13.5">
      <c r="B1493" s="30"/>
      <c r="C1493" s="30"/>
      <c r="D1493" s="31"/>
      <c r="E1493" s="35"/>
      <c r="F1493" s="130"/>
      <c r="G1493" s="14"/>
      <c r="H1493" s="14"/>
      <c r="I1493" s="14"/>
      <c r="J1493" s="14"/>
      <c r="K1493" s="14"/>
      <c r="L1493" s="14"/>
      <c r="M1493" s="14"/>
    </row>
    <row r="1494" spans="2:13" s="7" customFormat="1" ht="13.5">
      <c r="B1494" s="30"/>
      <c r="C1494" s="30"/>
      <c r="D1494" s="31"/>
      <c r="E1494" s="35"/>
      <c r="F1494" s="130"/>
      <c r="G1494" s="14"/>
      <c r="H1494" s="14"/>
      <c r="I1494" s="14"/>
      <c r="J1494" s="14"/>
      <c r="K1494" s="14"/>
      <c r="L1494" s="14"/>
      <c r="M1494" s="14"/>
    </row>
    <row r="1495" spans="2:13" s="7" customFormat="1" ht="13.5">
      <c r="B1495" s="30"/>
      <c r="C1495" s="30"/>
      <c r="D1495" s="31"/>
      <c r="E1495" s="35"/>
      <c r="F1495" s="130"/>
      <c r="G1495" s="14"/>
      <c r="H1495" s="14"/>
      <c r="I1495" s="14"/>
      <c r="J1495" s="14"/>
      <c r="K1495" s="14"/>
      <c r="L1495" s="14"/>
      <c r="M1495" s="14"/>
    </row>
    <row r="1496" spans="2:13" s="7" customFormat="1" ht="13.5">
      <c r="B1496" s="30"/>
      <c r="C1496" s="30"/>
      <c r="D1496" s="31"/>
      <c r="E1496" s="35"/>
      <c r="F1496" s="130"/>
      <c r="G1496" s="14"/>
      <c r="H1496" s="14"/>
      <c r="I1496" s="14"/>
      <c r="J1496" s="14"/>
      <c r="K1496" s="14"/>
      <c r="L1496" s="14"/>
      <c r="M1496" s="14"/>
    </row>
    <row r="1497" spans="2:13" s="7" customFormat="1" ht="13.5">
      <c r="B1497" s="30"/>
      <c r="C1497" s="30"/>
      <c r="D1497" s="31"/>
      <c r="E1497" s="35"/>
      <c r="F1497" s="130"/>
      <c r="G1497" s="14"/>
      <c r="H1497" s="14"/>
      <c r="I1497" s="14"/>
      <c r="J1497" s="14"/>
      <c r="K1497" s="14"/>
      <c r="L1497" s="14"/>
      <c r="M1497" s="14"/>
    </row>
    <row r="1498" spans="2:13" s="7" customFormat="1" ht="13.5">
      <c r="B1498" s="30"/>
      <c r="C1498" s="30"/>
      <c r="D1498" s="31"/>
      <c r="E1498" s="35"/>
      <c r="F1498" s="130"/>
      <c r="G1498" s="14"/>
      <c r="H1498" s="14"/>
      <c r="I1498" s="14"/>
      <c r="J1498" s="14"/>
      <c r="K1498" s="14"/>
      <c r="L1498" s="14"/>
      <c r="M1498" s="14"/>
    </row>
    <row r="1499" spans="2:13" s="7" customFormat="1" ht="13.5">
      <c r="B1499" s="30"/>
      <c r="C1499" s="30"/>
      <c r="D1499" s="31"/>
      <c r="E1499" s="35"/>
      <c r="F1499" s="130"/>
      <c r="G1499" s="14"/>
      <c r="H1499" s="14"/>
      <c r="I1499" s="14"/>
      <c r="J1499" s="14"/>
      <c r="K1499" s="14"/>
      <c r="L1499" s="14"/>
      <c r="M1499" s="14"/>
    </row>
    <row r="1500" spans="2:13" s="7" customFormat="1" ht="13.5">
      <c r="B1500" s="30"/>
      <c r="C1500" s="30"/>
      <c r="D1500" s="31"/>
      <c r="E1500" s="35"/>
      <c r="F1500" s="130"/>
      <c r="G1500" s="14"/>
      <c r="H1500" s="14"/>
      <c r="I1500" s="14"/>
      <c r="J1500" s="14"/>
      <c r="K1500" s="14"/>
      <c r="L1500" s="14"/>
      <c r="M1500" s="14"/>
    </row>
    <row r="1501" spans="2:13" s="7" customFormat="1" ht="13.5">
      <c r="B1501" s="30"/>
      <c r="C1501" s="30"/>
      <c r="D1501" s="31"/>
      <c r="E1501" s="35"/>
      <c r="F1501" s="130"/>
      <c r="G1501" s="14"/>
      <c r="H1501" s="14"/>
      <c r="I1501" s="14"/>
      <c r="J1501" s="14"/>
      <c r="K1501" s="14"/>
      <c r="L1501" s="14"/>
      <c r="M1501" s="14"/>
    </row>
    <row r="1502" spans="2:13" s="7" customFormat="1" ht="13.5">
      <c r="B1502" s="30"/>
      <c r="C1502" s="30"/>
      <c r="D1502" s="31"/>
      <c r="E1502" s="35"/>
      <c r="F1502" s="130"/>
      <c r="G1502" s="14"/>
      <c r="H1502" s="14"/>
      <c r="I1502" s="14"/>
      <c r="J1502" s="14"/>
      <c r="K1502" s="14"/>
      <c r="L1502" s="14"/>
      <c r="M1502" s="14"/>
    </row>
    <row r="1503" spans="2:13" s="7" customFormat="1" ht="13.5">
      <c r="B1503" s="30"/>
      <c r="C1503" s="30"/>
      <c r="D1503" s="31"/>
      <c r="E1503" s="35"/>
      <c r="F1503" s="130"/>
      <c r="G1503" s="14"/>
      <c r="H1503" s="14"/>
      <c r="I1503" s="14"/>
      <c r="J1503" s="14"/>
      <c r="K1503" s="14"/>
      <c r="L1503" s="14"/>
      <c r="M1503" s="14"/>
    </row>
    <row r="1504" spans="2:13" s="7" customFormat="1" ht="13.5">
      <c r="B1504" s="30"/>
      <c r="C1504" s="30"/>
      <c r="D1504" s="31"/>
      <c r="E1504" s="35"/>
      <c r="F1504" s="130"/>
      <c r="G1504" s="14"/>
      <c r="H1504" s="14"/>
      <c r="I1504" s="14"/>
      <c r="J1504" s="14"/>
      <c r="K1504" s="14"/>
      <c r="L1504" s="14"/>
      <c r="M1504" s="14"/>
    </row>
    <row r="1505" spans="2:13" s="7" customFormat="1" ht="13.5">
      <c r="B1505" s="30"/>
      <c r="C1505" s="30"/>
      <c r="D1505" s="31"/>
      <c r="E1505" s="35"/>
      <c r="F1505" s="130"/>
      <c r="G1505" s="14"/>
      <c r="H1505" s="14"/>
      <c r="I1505" s="14"/>
      <c r="J1505" s="14"/>
      <c r="K1505" s="14"/>
      <c r="L1505" s="14"/>
      <c r="M1505" s="14"/>
    </row>
    <row r="1506" spans="2:13" s="7" customFormat="1" ht="13.5">
      <c r="B1506" s="30"/>
      <c r="C1506" s="30"/>
      <c r="D1506" s="31"/>
      <c r="E1506" s="35"/>
      <c r="F1506" s="130"/>
      <c r="G1506" s="14"/>
      <c r="H1506" s="14"/>
      <c r="I1506" s="14"/>
      <c r="J1506" s="14"/>
      <c r="K1506" s="14"/>
      <c r="L1506" s="14"/>
      <c r="M1506" s="14"/>
    </row>
    <row r="1507" spans="2:13" s="7" customFormat="1" ht="13.5">
      <c r="B1507" s="30"/>
      <c r="C1507" s="30"/>
      <c r="D1507" s="31"/>
      <c r="E1507" s="35"/>
      <c r="F1507" s="130"/>
      <c r="G1507" s="14"/>
      <c r="H1507" s="14"/>
      <c r="I1507" s="14"/>
      <c r="J1507" s="14"/>
      <c r="K1507" s="14"/>
      <c r="L1507" s="14"/>
      <c r="M1507" s="14"/>
    </row>
    <row r="1508" spans="2:13" s="7" customFormat="1" ht="13.5">
      <c r="B1508" s="30"/>
      <c r="C1508" s="30"/>
      <c r="D1508" s="31"/>
      <c r="E1508" s="35"/>
      <c r="F1508" s="130"/>
      <c r="G1508" s="14"/>
      <c r="H1508" s="14"/>
      <c r="I1508" s="14"/>
      <c r="J1508" s="14"/>
      <c r="K1508" s="14"/>
      <c r="L1508" s="14"/>
      <c r="M1508" s="14"/>
    </row>
    <row r="1509" spans="2:13" s="7" customFormat="1" ht="13.5">
      <c r="B1509" s="30"/>
      <c r="C1509" s="30"/>
      <c r="D1509" s="31"/>
      <c r="E1509" s="35"/>
      <c r="F1509" s="130"/>
      <c r="G1509" s="14"/>
      <c r="H1509" s="14"/>
      <c r="I1509" s="14"/>
      <c r="J1509" s="14"/>
      <c r="K1509" s="14"/>
      <c r="L1509" s="14"/>
      <c r="M1509" s="14"/>
    </row>
    <row r="1510" spans="2:13" s="7" customFormat="1" ht="13.5">
      <c r="B1510" s="30"/>
      <c r="C1510" s="30"/>
      <c r="D1510" s="31"/>
      <c r="E1510" s="35"/>
      <c r="F1510" s="130"/>
      <c r="G1510" s="14"/>
      <c r="H1510" s="14"/>
      <c r="I1510" s="14"/>
      <c r="J1510" s="14"/>
      <c r="K1510" s="14"/>
      <c r="L1510" s="14"/>
      <c r="M1510" s="14"/>
    </row>
    <row r="1511" spans="2:13" s="7" customFormat="1" ht="13.5">
      <c r="B1511" s="30"/>
      <c r="C1511" s="30"/>
      <c r="D1511" s="31"/>
      <c r="E1511" s="35"/>
      <c r="F1511" s="130"/>
      <c r="G1511" s="14"/>
      <c r="H1511" s="14"/>
      <c r="I1511" s="14"/>
      <c r="J1511" s="14"/>
      <c r="K1511" s="14"/>
      <c r="L1511" s="14"/>
      <c r="M1511" s="14"/>
    </row>
    <row r="1512" spans="2:13" s="7" customFormat="1" ht="13.5">
      <c r="B1512" s="30"/>
      <c r="C1512" s="30"/>
      <c r="D1512" s="31"/>
      <c r="E1512" s="35"/>
      <c r="F1512" s="130"/>
      <c r="G1512" s="14"/>
      <c r="H1512" s="14"/>
      <c r="I1512" s="14"/>
      <c r="J1512" s="14"/>
      <c r="K1512" s="14"/>
      <c r="L1512" s="14"/>
      <c r="M1512" s="14"/>
    </row>
    <row r="1513" spans="2:13" s="7" customFormat="1" ht="13.5">
      <c r="B1513" s="30"/>
      <c r="C1513" s="30"/>
      <c r="D1513" s="31"/>
      <c r="E1513" s="35"/>
      <c r="F1513" s="130"/>
      <c r="G1513" s="14"/>
      <c r="H1513" s="14"/>
      <c r="I1513" s="14"/>
      <c r="J1513" s="14"/>
      <c r="K1513" s="14"/>
      <c r="L1513" s="14"/>
      <c r="M1513" s="14"/>
    </row>
    <row r="1514" spans="2:13" s="7" customFormat="1" ht="13.5">
      <c r="B1514" s="30"/>
      <c r="C1514" s="30"/>
      <c r="D1514" s="31"/>
      <c r="E1514" s="35"/>
      <c r="F1514" s="130"/>
      <c r="G1514" s="14"/>
      <c r="H1514" s="14"/>
      <c r="I1514" s="14"/>
      <c r="J1514" s="14"/>
      <c r="K1514" s="14"/>
      <c r="L1514" s="14"/>
      <c r="M1514" s="14"/>
    </row>
    <row r="1515" spans="2:13" s="7" customFormat="1" ht="13.5">
      <c r="B1515" s="30"/>
      <c r="C1515" s="30"/>
      <c r="D1515" s="31"/>
      <c r="E1515" s="35"/>
      <c r="F1515" s="130"/>
      <c r="G1515" s="14"/>
      <c r="H1515" s="14"/>
      <c r="I1515" s="14"/>
      <c r="J1515" s="14"/>
      <c r="K1515" s="14"/>
      <c r="L1515" s="14"/>
      <c r="M1515" s="14"/>
    </row>
    <row r="1516" spans="2:13" s="7" customFormat="1" ht="13.5">
      <c r="B1516" s="30"/>
      <c r="C1516" s="30"/>
      <c r="D1516" s="31"/>
      <c r="E1516" s="35"/>
      <c r="F1516" s="130"/>
      <c r="G1516" s="14"/>
      <c r="H1516" s="14"/>
      <c r="I1516" s="14"/>
      <c r="J1516" s="14"/>
      <c r="K1516" s="14"/>
      <c r="L1516" s="14"/>
      <c r="M1516" s="14"/>
    </row>
    <row r="1517" spans="2:13" s="7" customFormat="1" ht="13.5">
      <c r="B1517" s="30"/>
      <c r="C1517" s="30"/>
      <c r="D1517" s="31"/>
      <c r="E1517" s="35"/>
      <c r="F1517" s="130"/>
      <c r="G1517" s="14"/>
      <c r="H1517" s="14"/>
      <c r="I1517" s="14"/>
      <c r="J1517" s="14"/>
      <c r="K1517" s="14"/>
      <c r="L1517" s="14"/>
      <c r="M1517" s="14"/>
    </row>
    <row r="1518" spans="2:13" s="7" customFormat="1" ht="13.5">
      <c r="B1518" s="30"/>
      <c r="C1518" s="30"/>
      <c r="D1518" s="31"/>
      <c r="E1518" s="35"/>
      <c r="F1518" s="130"/>
      <c r="G1518" s="14"/>
      <c r="H1518" s="14"/>
      <c r="I1518" s="14"/>
      <c r="J1518" s="14"/>
      <c r="K1518" s="14"/>
      <c r="L1518" s="14"/>
      <c r="M1518" s="14"/>
    </row>
    <row r="1519" spans="2:13" s="7" customFormat="1" ht="13.5">
      <c r="B1519" s="30"/>
      <c r="C1519" s="30"/>
      <c r="D1519" s="31"/>
      <c r="E1519" s="35"/>
      <c r="F1519" s="130"/>
      <c r="G1519" s="14"/>
      <c r="H1519" s="14"/>
      <c r="I1519" s="14"/>
      <c r="J1519" s="14"/>
      <c r="K1519" s="14"/>
      <c r="L1519" s="14"/>
      <c r="M1519" s="14"/>
    </row>
    <row r="1520" spans="2:13" s="7" customFormat="1" ht="13.5">
      <c r="B1520" s="30"/>
      <c r="C1520" s="30"/>
      <c r="D1520" s="31"/>
      <c r="E1520" s="35"/>
      <c r="F1520" s="130"/>
      <c r="G1520" s="14"/>
      <c r="H1520" s="14"/>
      <c r="I1520" s="14"/>
      <c r="J1520" s="14"/>
      <c r="K1520" s="14"/>
      <c r="L1520" s="14"/>
      <c r="M1520" s="14"/>
    </row>
    <row r="1521" spans="2:13" s="7" customFormat="1" ht="13.5">
      <c r="B1521" s="30"/>
      <c r="C1521" s="30"/>
      <c r="D1521" s="31"/>
      <c r="E1521" s="35"/>
      <c r="F1521" s="130"/>
      <c r="G1521" s="14"/>
      <c r="H1521" s="14"/>
      <c r="I1521" s="14"/>
      <c r="J1521" s="14"/>
      <c r="K1521" s="14"/>
      <c r="L1521" s="14"/>
      <c r="M1521" s="14"/>
    </row>
    <row r="1522" spans="2:13" s="7" customFormat="1" ht="13.5">
      <c r="B1522" s="30"/>
      <c r="C1522" s="30"/>
      <c r="D1522" s="31"/>
      <c r="E1522" s="35"/>
      <c r="F1522" s="130"/>
      <c r="G1522" s="14"/>
      <c r="H1522" s="14"/>
      <c r="I1522" s="14"/>
      <c r="J1522" s="14"/>
      <c r="K1522" s="14"/>
      <c r="L1522" s="14"/>
      <c r="M1522" s="14"/>
    </row>
    <row r="1523" spans="2:13" s="7" customFormat="1" ht="13.5">
      <c r="B1523" s="30"/>
      <c r="C1523" s="30"/>
      <c r="D1523" s="31"/>
      <c r="E1523" s="35"/>
      <c r="F1523" s="130"/>
      <c r="G1523" s="14"/>
      <c r="H1523" s="14"/>
      <c r="I1523" s="14"/>
      <c r="J1523" s="14"/>
      <c r="K1523" s="14"/>
      <c r="L1523" s="14"/>
      <c r="M1523" s="14"/>
    </row>
    <row r="1524" spans="2:13" s="7" customFormat="1" ht="13.5">
      <c r="B1524" s="30"/>
      <c r="C1524" s="30"/>
      <c r="D1524" s="31"/>
      <c r="E1524" s="35"/>
      <c r="F1524" s="130"/>
      <c r="G1524" s="14"/>
      <c r="H1524" s="14"/>
      <c r="I1524" s="14"/>
      <c r="J1524" s="14"/>
      <c r="K1524" s="14"/>
      <c r="L1524" s="14"/>
      <c r="M1524" s="14"/>
    </row>
    <row r="1525" spans="2:13" s="7" customFormat="1" ht="13.5">
      <c r="B1525" s="30"/>
      <c r="C1525" s="30"/>
      <c r="D1525" s="31"/>
      <c r="E1525" s="35"/>
      <c r="F1525" s="130"/>
      <c r="G1525" s="14"/>
      <c r="H1525" s="14"/>
      <c r="I1525" s="14"/>
      <c r="J1525" s="14"/>
      <c r="K1525" s="14"/>
      <c r="L1525" s="14"/>
      <c r="M1525" s="14"/>
    </row>
    <row r="1526" spans="2:13" s="7" customFormat="1" ht="13.5">
      <c r="B1526" s="30"/>
      <c r="C1526" s="30"/>
      <c r="D1526" s="31"/>
      <c r="E1526" s="35"/>
      <c r="F1526" s="130"/>
      <c r="G1526" s="14"/>
      <c r="H1526" s="14"/>
      <c r="I1526" s="14"/>
      <c r="J1526" s="14"/>
      <c r="K1526" s="14"/>
      <c r="L1526" s="14"/>
      <c r="M1526" s="14"/>
    </row>
    <row r="1527" spans="2:13" s="7" customFormat="1" ht="13.5">
      <c r="B1527" s="30"/>
      <c r="C1527" s="30"/>
      <c r="D1527" s="31"/>
      <c r="E1527" s="35"/>
      <c r="F1527" s="130"/>
      <c r="G1527" s="14"/>
      <c r="H1527" s="14"/>
      <c r="I1527" s="14"/>
      <c r="J1527" s="14"/>
      <c r="K1527" s="14"/>
      <c r="L1527" s="14"/>
      <c r="M1527" s="14"/>
    </row>
    <row r="1528" spans="2:13" s="7" customFormat="1" ht="13.5">
      <c r="B1528" s="30"/>
      <c r="C1528" s="30"/>
      <c r="D1528" s="31"/>
      <c r="E1528" s="35"/>
      <c r="F1528" s="130"/>
      <c r="G1528" s="14"/>
      <c r="H1528" s="14"/>
      <c r="I1528" s="14"/>
      <c r="J1528" s="14"/>
      <c r="K1528" s="14"/>
      <c r="L1528" s="14"/>
      <c r="M1528" s="14"/>
    </row>
    <row r="1529" spans="2:13" s="7" customFormat="1" ht="13.5">
      <c r="B1529" s="30"/>
      <c r="C1529" s="30"/>
      <c r="D1529" s="31"/>
      <c r="E1529" s="35"/>
      <c r="F1529" s="130"/>
      <c r="G1529" s="14"/>
      <c r="H1529" s="14"/>
      <c r="I1529" s="14"/>
      <c r="J1529" s="14"/>
      <c r="K1529" s="14"/>
      <c r="L1529" s="14"/>
      <c r="M1529" s="14"/>
    </row>
    <row r="1530" spans="2:13" s="7" customFormat="1" ht="13.5">
      <c r="B1530" s="30"/>
      <c r="C1530" s="30"/>
      <c r="D1530" s="31"/>
      <c r="E1530" s="35"/>
      <c r="F1530" s="130"/>
      <c r="G1530" s="14"/>
      <c r="H1530" s="14"/>
      <c r="I1530" s="14"/>
      <c r="J1530" s="14"/>
      <c r="K1530" s="14"/>
      <c r="L1530" s="14"/>
      <c r="M1530" s="14"/>
    </row>
    <row r="1531" spans="2:13" s="7" customFormat="1" ht="13.5">
      <c r="B1531" s="30"/>
      <c r="C1531" s="30"/>
      <c r="D1531" s="31"/>
      <c r="E1531" s="35"/>
      <c r="F1531" s="130"/>
      <c r="G1531" s="14"/>
      <c r="H1531" s="14"/>
      <c r="I1531" s="14"/>
      <c r="J1531" s="14"/>
      <c r="K1531" s="14"/>
      <c r="L1531" s="14"/>
      <c r="M1531" s="14"/>
    </row>
    <row r="1532" spans="2:13" s="7" customFormat="1" ht="13.5">
      <c r="B1532" s="30"/>
      <c r="C1532" s="30"/>
      <c r="D1532" s="31"/>
      <c r="E1532" s="35"/>
      <c r="F1532" s="130"/>
      <c r="G1532" s="14"/>
      <c r="H1532" s="14"/>
      <c r="I1532" s="14"/>
      <c r="J1532" s="14"/>
      <c r="K1532" s="14"/>
      <c r="L1532" s="14"/>
      <c r="M1532" s="14"/>
    </row>
    <row r="1533" spans="2:13" s="7" customFormat="1" ht="13.5">
      <c r="B1533" s="30"/>
      <c r="C1533" s="30"/>
      <c r="D1533" s="31"/>
      <c r="E1533" s="35"/>
      <c r="F1533" s="130"/>
      <c r="G1533" s="14"/>
      <c r="H1533" s="14"/>
      <c r="I1533" s="14"/>
      <c r="J1533" s="14"/>
      <c r="K1533" s="14"/>
      <c r="L1533" s="14"/>
      <c r="M1533" s="14"/>
    </row>
    <row r="1534" spans="2:13" s="7" customFormat="1" ht="13.5">
      <c r="B1534" s="30"/>
      <c r="C1534" s="30"/>
      <c r="D1534" s="31"/>
      <c r="E1534" s="35"/>
      <c r="F1534" s="130"/>
      <c r="G1534" s="14"/>
      <c r="H1534" s="14"/>
      <c r="I1534" s="14"/>
      <c r="J1534" s="14"/>
      <c r="K1534" s="14"/>
      <c r="L1534" s="14"/>
      <c r="M1534" s="14"/>
    </row>
    <row r="1535" spans="2:13" s="7" customFormat="1" ht="13.5">
      <c r="B1535" s="30"/>
      <c r="C1535" s="30"/>
      <c r="D1535" s="31"/>
      <c r="E1535" s="35"/>
      <c r="F1535" s="130"/>
      <c r="G1535" s="14"/>
      <c r="H1535" s="14"/>
      <c r="I1535" s="14"/>
      <c r="J1535" s="14"/>
      <c r="K1535" s="14"/>
      <c r="L1535" s="14"/>
      <c r="M1535" s="14"/>
    </row>
    <row r="1536" spans="2:13" s="7" customFormat="1" ht="13.5">
      <c r="B1536" s="30"/>
      <c r="C1536" s="30"/>
      <c r="D1536" s="31"/>
      <c r="E1536" s="35"/>
      <c r="F1536" s="130"/>
      <c r="G1536" s="14"/>
      <c r="H1536" s="14"/>
      <c r="I1536" s="14"/>
      <c r="J1536" s="14"/>
      <c r="K1536" s="14"/>
      <c r="L1536" s="14"/>
      <c r="M1536" s="14"/>
    </row>
    <row r="1537" spans="2:13" s="7" customFormat="1" ht="13.5">
      <c r="B1537" s="30"/>
      <c r="C1537" s="30"/>
      <c r="D1537" s="31"/>
      <c r="E1537" s="35"/>
      <c r="F1537" s="130"/>
      <c r="G1537" s="14"/>
      <c r="H1537" s="14"/>
      <c r="I1537" s="14"/>
      <c r="J1537" s="14"/>
      <c r="K1537" s="14"/>
      <c r="L1537" s="14"/>
      <c r="M1537" s="14"/>
    </row>
    <row r="1538" spans="2:13" s="7" customFormat="1" ht="13.5">
      <c r="B1538" s="30"/>
      <c r="C1538" s="30"/>
      <c r="D1538" s="31"/>
      <c r="E1538" s="35"/>
      <c r="F1538" s="130"/>
      <c r="G1538" s="14"/>
      <c r="H1538" s="14"/>
      <c r="I1538" s="14"/>
      <c r="J1538" s="14"/>
      <c r="K1538" s="14"/>
      <c r="L1538" s="14"/>
      <c r="M1538" s="14"/>
    </row>
    <row r="1539" spans="2:13" s="7" customFormat="1" ht="13.5">
      <c r="B1539" s="30"/>
      <c r="C1539" s="30"/>
      <c r="D1539" s="31"/>
      <c r="E1539" s="35"/>
      <c r="F1539" s="130"/>
      <c r="G1539" s="14"/>
      <c r="H1539" s="14"/>
      <c r="I1539" s="14"/>
      <c r="J1539" s="14"/>
      <c r="K1539" s="14"/>
      <c r="L1539" s="14"/>
      <c r="M1539" s="14"/>
    </row>
    <row r="1540" spans="2:13" s="7" customFormat="1" ht="13.5">
      <c r="B1540" s="30"/>
      <c r="C1540" s="30"/>
      <c r="D1540" s="31"/>
      <c r="E1540" s="35"/>
      <c r="F1540" s="130"/>
      <c r="G1540" s="14"/>
      <c r="H1540" s="14"/>
      <c r="I1540" s="14"/>
      <c r="J1540" s="14"/>
      <c r="K1540" s="14"/>
      <c r="L1540" s="14"/>
      <c r="M1540" s="14"/>
    </row>
    <row r="1541" spans="2:13" s="7" customFormat="1" ht="13.5">
      <c r="B1541" s="30"/>
      <c r="C1541" s="30"/>
      <c r="D1541" s="31"/>
      <c r="E1541" s="35"/>
      <c r="F1541" s="130"/>
      <c r="G1541" s="14"/>
      <c r="H1541" s="14"/>
      <c r="I1541" s="14"/>
      <c r="J1541" s="14"/>
      <c r="K1541" s="14"/>
      <c r="L1541" s="14"/>
      <c r="M1541" s="14"/>
    </row>
    <row r="1542" spans="2:13" s="7" customFormat="1" ht="13.5">
      <c r="B1542" s="30"/>
      <c r="C1542" s="30"/>
      <c r="D1542" s="31"/>
      <c r="E1542" s="35"/>
      <c r="F1542" s="130"/>
      <c r="G1542" s="14"/>
      <c r="H1542" s="14"/>
      <c r="I1542" s="14"/>
      <c r="J1542" s="14"/>
      <c r="K1542" s="14"/>
      <c r="L1542" s="14"/>
      <c r="M1542" s="14"/>
    </row>
    <row r="1543" spans="2:13" s="7" customFormat="1" ht="13.5">
      <c r="B1543" s="30"/>
      <c r="C1543" s="30"/>
      <c r="D1543" s="31"/>
      <c r="E1543" s="35"/>
      <c r="F1543" s="130"/>
      <c r="G1543" s="14"/>
      <c r="H1543" s="14"/>
      <c r="I1543" s="14"/>
      <c r="J1543" s="14"/>
      <c r="K1543" s="14"/>
      <c r="L1543" s="14"/>
      <c r="M1543" s="14"/>
    </row>
    <row r="1544" spans="2:13" s="7" customFormat="1" ht="13.5">
      <c r="B1544" s="30"/>
      <c r="C1544" s="30"/>
      <c r="D1544" s="31"/>
      <c r="E1544" s="35"/>
      <c r="F1544" s="130"/>
      <c r="G1544" s="14"/>
      <c r="H1544" s="14"/>
      <c r="I1544" s="14"/>
      <c r="J1544" s="14"/>
      <c r="K1544" s="14"/>
      <c r="L1544" s="14"/>
      <c r="M1544" s="14"/>
    </row>
    <row r="1545" spans="2:13" s="7" customFormat="1" ht="13.5">
      <c r="B1545" s="30"/>
      <c r="C1545" s="30"/>
      <c r="D1545" s="31"/>
      <c r="E1545" s="35"/>
      <c r="F1545" s="130"/>
      <c r="G1545" s="14"/>
      <c r="H1545" s="14"/>
      <c r="I1545" s="14"/>
      <c r="J1545" s="14"/>
      <c r="K1545" s="14"/>
      <c r="L1545" s="14"/>
      <c r="M1545" s="14"/>
    </row>
    <row r="1546" spans="2:13" s="7" customFormat="1" ht="13.5">
      <c r="B1546" s="30"/>
      <c r="C1546" s="30"/>
      <c r="D1546" s="31"/>
      <c r="E1546" s="35"/>
      <c r="F1546" s="130"/>
      <c r="G1546" s="14"/>
      <c r="H1546" s="14"/>
      <c r="I1546" s="14"/>
      <c r="J1546" s="14"/>
      <c r="K1546" s="14"/>
      <c r="L1546" s="14"/>
      <c r="M1546" s="14"/>
    </row>
    <row r="1547" spans="2:13" s="7" customFormat="1" ht="13.5">
      <c r="B1547" s="30"/>
      <c r="C1547" s="30"/>
      <c r="D1547" s="31"/>
      <c r="E1547" s="35"/>
      <c r="F1547" s="130"/>
      <c r="G1547" s="14"/>
      <c r="H1547" s="14"/>
      <c r="I1547" s="14"/>
      <c r="J1547" s="14"/>
      <c r="K1547" s="14"/>
      <c r="L1547" s="14"/>
      <c r="M1547" s="14"/>
    </row>
    <row r="1548" spans="2:13" s="7" customFormat="1" ht="13.5">
      <c r="B1548" s="30"/>
      <c r="C1548" s="30"/>
      <c r="D1548" s="31"/>
      <c r="E1548" s="35"/>
      <c r="F1548" s="130"/>
      <c r="G1548" s="14"/>
      <c r="H1548" s="14"/>
      <c r="I1548" s="14"/>
      <c r="J1548" s="14"/>
      <c r="K1548" s="14"/>
      <c r="L1548" s="14"/>
      <c r="M1548" s="14"/>
    </row>
    <row r="1549" spans="2:13" s="7" customFormat="1" ht="13.5">
      <c r="B1549" s="30"/>
      <c r="C1549" s="30"/>
      <c r="D1549" s="31"/>
      <c r="E1549" s="35"/>
      <c r="F1549" s="130"/>
      <c r="G1549" s="14"/>
      <c r="H1549" s="14"/>
      <c r="I1549" s="14"/>
      <c r="J1549" s="14"/>
      <c r="K1549" s="14"/>
      <c r="L1549" s="14"/>
      <c r="M1549" s="14"/>
    </row>
    <row r="1550" spans="2:13" s="7" customFormat="1" ht="13.5">
      <c r="B1550" s="30"/>
      <c r="C1550" s="30"/>
      <c r="D1550" s="31"/>
      <c r="E1550" s="35"/>
      <c r="F1550" s="130"/>
      <c r="G1550" s="14"/>
      <c r="H1550" s="14"/>
      <c r="I1550" s="14"/>
      <c r="J1550" s="14"/>
      <c r="K1550" s="14"/>
      <c r="L1550" s="14"/>
      <c r="M1550" s="14"/>
    </row>
    <row r="1551" spans="2:13" s="7" customFormat="1" ht="13.5">
      <c r="B1551" s="30"/>
      <c r="C1551" s="30"/>
      <c r="D1551" s="31"/>
      <c r="E1551" s="35"/>
      <c r="F1551" s="130"/>
      <c r="G1551" s="14"/>
      <c r="H1551" s="14"/>
      <c r="I1551" s="14"/>
      <c r="J1551" s="14"/>
      <c r="K1551" s="14"/>
      <c r="L1551" s="14"/>
      <c r="M1551" s="14"/>
    </row>
    <row r="1552" spans="2:13" s="7" customFormat="1" ht="13.5">
      <c r="B1552" s="30"/>
      <c r="C1552" s="30"/>
      <c r="D1552" s="31"/>
      <c r="E1552" s="35"/>
      <c r="F1552" s="130"/>
      <c r="G1552" s="14"/>
      <c r="H1552" s="14"/>
      <c r="I1552" s="14"/>
      <c r="J1552" s="14"/>
      <c r="K1552" s="14"/>
      <c r="L1552" s="14"/>
      <c r="M1552" s="14"/>
    </row>
    <row r="1553" spans="2:13" s="7" customFormat="1" ht="13.5">
      <c r="B1553" s="30"/>
      <c r="C1553" s="30"/>
      <c r="D1553" s="31"/>
      <c r="E1553" s="35"/>
      <c r="F1553" s="130"/>
      <c r="G1553" s="14"/>
      <c r="H1553" s="14"/>
      <c r="I1553" s="14"/>
      <c r="J1553" s="14"/>
      <c r="K1553" s="14"/>
      <c r="L1553" s="14"/>
      <c r="M1553" s="14"/>
    </row>
    <row r="1554" spans="2:13" s="7" customFormat="1" ht="13.5">
      <c r="B1554" s="30"/>
      <c r="C1554" s="30"/>
      <c r="D1554" s="31"/>
      <c r="E1554" s="35"/>
      <c r="F1554" s="130"/>
      <c r="G1554" s="14"/>
      <c r="H1554" s="14"/>
      <c r="I1554" s="14"/>
      <c r="J1554" s="14"/>
      <c r="K1554" s="14"/>
      <c r="L1554" s="14"/>
      <c r="M1554" s="14"/>
    </row>
    <row r="1555" spans="2:13" s="7" customFormat="1" ht="13.5">
      <c r="B1555" s="30"/>
      <c r="C1555" s="30"/>
      <c r="D1555" s="31"/>
      <c r="E1555" s="35"/>
      <c r="F1555" s="130"/>
      <c r="G1555" s="14"/>
      <c r="H1555" s="14"/>
      <c r="I1555" s="14"/>
      <c r="J1555" s="14"/>
      <c r="K1555" s="14"/>
      <c r="L1555" s="14"/>
      <c r="M1555" s="14"/>
    </row>
    <row r="1556" spans="2:13" s="7" customFormat="1" ht="13.5">
      <c r="B1556" s="30"/>
      <c r="C1556" s="30"/>
      <c r="D1556" s="31"/>
      <c r="E1556" s="35"/>
      <c r="F1556" s="130"/>
      <c r="G1556" s="14"/>
      <c r="H1556" s="14"/>
      <c r="I1556" s="14"/>
      <c r="J1556" s="14"/>
      <c r="K1556" s="14"/>
      <c r="L1556" s="14"/>
      <c r="M1556" s="14"/>
    </row>
    <row r="1557" spans="2:13" s="7" customFormat="1" ht="13.5">
      <c r="B1557" s="30"/>
      <c r="C1557" s="30"/>
      <c r="D1557" s="31"/>
      <c r="E1557" s="35"/>
      <c r="F1557" s="130"/>
      <c r="G1557" s="14"/>
      <c r="H1557" s="14"/>
      <c r="I1557" s="14"/>
      <c r="J1557" s="14"/>
      <c r="K1557" s="14"/>
      <c r="L1557" s="14"/>
      <c r="M1557" s="14"/>
    </row>
    <row r="1558" spans="2:13" s="7" customFormat="1" ht="13.5">
      <c r="B1558" s="30"/>
      <c r="C1558" s="30"/>
      <c r="D1558" s="31"/>
      <c r="E1558" s="35"/>
      <c r="F1558" s="130"/>
      <c r="G1558" s="14"/>
      <c r="H1558" s="14"/>
      <c r="I1558" s="14"/>
      <c r="J1558" s="14"/>
      <c r="K1558" s="14"/>
      <c r="L1558" s="14"/>
      <c r="M1558" s="14"/>
    </row>
    <row r="1559" spans="2:13" s="7" customFormat="1" ht="13.5">
      <c r="B1559" s="30"/>
      <c r="C1559" s="30"/>
      <c r="D1559" s="31"/>
      <c r="E1559" s="35"/>
      <c r="F1559" s="130"/>
      <c r="G1559" s="14"/>
      <c r="H1559" s="14"/>
      <c r="I1559" s="14"/>
      <c r="J1559" s="14"/>
      <c r="K1559" s="14"/>
      <c r="L1559" s="14"/>
      <c r="M1559" s="14"/>
    </row>
    <row r="1560" spans="2:13" s="7" customFormat="1" ht="13.5">
      <c r="B1560" s="30"/>
      <c r="C1560" s="30"/>
      <c r="D1560" s="31"/>
      <c r="E1560" s="35"/>
      <c r="F1560" s="130"/>
      <c r="G1560" s="14"/>
      <c r="H1560" s="14"/>
      <c r="I1560" s="14"/>
      <c r="J1560" s="14"/>
      <c r="K1560" s="14"/>
      <c r="L1560" s="14"/>
      <c r="M1560" s="14"/>
    </row>
    <row r="1561" spans="2:13" s="7" customFormat="1" ht="13.5">
      <c r="B1561" s="30"/>
      <c r="C1561" s="30"/>
      <c r="D1561" s="31"/>
      <c r="E1561" s="35"/>
      <c r="F1561" s="130"/>
      <c r="G1561" s="14"/>
      <c r="H1561" s="14"/>
      <c r="I1561" s="14"/>
      <c r="J1561" s="14"/>
      <c r="K1561" s="14"/>
      <c r="L1561" s="14"/>
      <c r="M1561" s="14"/>
    </row>
    <row r="1562" spans="2:13" s="7" customFormat="1" ht="13.5">
      <c r="B1562" s="30"/>
      <c r="C1562" s="30"/>
      <c r="D1562" s="31"/>
      <c r="E1562" s="35"/>
      <c r="F1562" s="130"/>
      <c r="G1562" s="14"/>
      <c r="H1562" s="14"/>
      <c r="I1562" s="14"/>
      <c r="J1562" s="14"/>
      <c r="K1562" s="14"/>
      <c r="L1562" s="14"/>
      <c r="M1562" s="14"/>
    </row>
    <row r="1563" spans="2:13" s="7" customFormat="1" ht="13.5">
      <c r="B1563" s="30"/>
      <c r="C1563" s="30"/>
      <c r="D1563" s="31"/>
      <c r="E1563" s="35"/>
      <c r="F1563" s="130"/>
      <c r="G1563" s="14"/>
      <c r="H1563" s="14"/>
      <c r="I1563" s="14"/>
      <c r="J1563" s="14"/>
      <c r="K1563" s="14"/>
      <c r="L1563" s="14"/>
      <c r="M1563" s="14"/>
    </row>
    <row r="1564" spans="2:13" s="7" customFormat="1" ht="13.5">
      <c r="B1564" s="30"/>
      <c r="C1564" s="30"/>
      <c r="D1564" s="31"/>
      <c r="E1564" s="35"/>
      <c r="F1564" s="130"/>
      <c r="G1564" s="14"/>
      <c r="H1564" s="14"/>
      <c r="I1564" s="14"/>
      <c r="J1564" s="14"/>
      <c r="K1564" s="14"/>
      <c r="L1564" s="14"/>
      <c r="M1564" s="14"/>
    </row>
    <row r="1565" spans="2:13" s="7" customFormat="1" ht="13.5">
      <c r="B1565" s="30"/>
      <c r="C1565" s="30"/>
      <c r="D1565" s="31"/>
      <c r="E1565" s="35"/>
      <c r="F1565" s="130"/>
      <c r="G1565" s="14"/>
      <c r="H1565" s="14"/>
      <c r="I1565" s="14"/>
      <c r="J1565" s="14"/>
      <c r="K1565" s="14"/>
      <c r="L1565" s="14"/>
      <c r="M1565" s="14"/>
    </row>
    <row r="1566" spans="2:13" s="7" customFormat="1" ht="13.5">
      <c r="B1566" s="30"/>
      <c r="C1566" s="30"/>
      <c r="D1566" s="31"/>
      <c r="E1566" s="35"/>
      <c r="F1566" s="130"/>
      <c r="G1566" s="14"/>
      <c r="H1566" s="14"/>
      <c r="I1566" s="14"/>
      <c r="J1566" s="14"/>
      <c r="K1566" s="14"/>
      <c r="L1566" s="14"/>
      <c r="M1566" s="14"/>
    </row>
    <row r="1567" spans="2:13" s="7" customFormat="1" ht="13.5">
      <c r="B1567" s="30"/>
      <c r="C1567" s="30"/>
      <c r="D1567" s="31"/>
      <c r="E1567" s="35"/>
      <c r="F1567" s="130"/>
      <c r="G1567" s="14"/>
      <c r="H1567" s="14"/>
      <c r="I1567" s="14"/>
      <c r="J1567" s="14"/>
      <c r="K1567" s="14"/>
      <c r="L1567" s="14"/>
      <c r="M1567" s="14"/>
    </row>
    <row r="1568" spans="2:13" s="7" customFormat="1" ht="13.5">
      <c r="B1568" s="30"/>
      <c r="C1568" s="30"/>
      <c r="D1568" s="31"/>
      <c r="E1568" s="35"/>
      <c r="F1568" s="130"/>
      <c r="G1568" s="14"/>
      <c r="H1568" s="14"/>
      <c r="I1568" s="14"/>
      <c r="J1568" s="14"/>
      <c r="K1568" s="14"/>
      <c r="L1568" s="14"/>
      <c r="M1568" s="14"/>
    </row>
    <row r="1569" spans="2:13" s="7" customFormat="1" ht="13.5">
      <c r="B1569" s="30"/>
      <c r="C1569" s="30"/>
      <c r="D1569" s="31"/>
      <c r="E1569" s="35"/>
      <c r="F1569" s="130"/>
      <c r="G1569" s="14"/>
      <c r="H1569" s="14"/>
      <c r="I1569" s="14"/>
      <c r="J1569" s="14"/>
      <c r="K1569" s="14"/>
      <c r="L1569" s="14"/>
      <c r="M1569" s="14"/>
    </row>
    <row r="1570" spans="2:13" s="7" customFormat="1" ht="13.5">
      <c r="B1570" s="30"/>
      <c r="C1570" s="30"/>
      <c r="D1570" s="31"/>
      <c r="E1570" s="35"/>
      <c r="F1570" s="130"/>
      <c r="G1570" s="14"/>
      <c r="H1570" s="14"/>
      <c r="I1570" s="14"/>
      <c r="J1570" s="14"/>
      <c r="K1570" s="14"/>
      <c r="L1570" s="14"/>
      <c r="M1570" s="14"/>
    </row>
    <row r="1571" spans="2:13" s="7" customFormat="1" ht="13.5">
      <c r="B1571" s="30"/>
      <c r="C1571" s="30"/>
      <c r="D1571" s="31"/>
      <c r="E1571" s="35"/>
      <c r="F1571" s="130"/>
      <c r="G1571" s="14"/>
      <c r="H1571" s="14"/>
      <c r="I1571" s="14"/>
      <c r="J1571" s="14"/>
      <c r="K1571" s="14"/>
      <c r="L1571" s="14"/>
      <c r="M1571" s="14"/>
    </row>
    <row r="1572" spans="2:13" s="7" customFormat="1" ht="13.5">
      <c r="B1572" s="30"/>
      <c r="C1572" s="30"/>
      <c r="D1572" s="31"/>
      <c r="E1572" s="35"/>
      <c r="F1572" s="130"/>
      <c r="G1572" s="14"/>
      <c r="H1572" s="14"/>
      <c r="I1572" s="14"/>
      <c r="J1572" s="14"/>
      <c r="K1572" s="14"/>
      <c r="L1572" s="14"/>
      <c r="M1572" s="14"/>
    </row>
    <row r="1573" spans="2:13" s="7" customFormat="1" ht="13.5">
      <c r="B1573" s="30"/>
      <c r="C1573" s="30"/>
      <c r="D1573" s="31"/>
      <c r="E1573" s="35"/>
      <c r="F1573" s="130"/>
      <c r="G1573" s="14"/>
      <c r="H1573" s="14"/>
      <c r="I1573" s="14"/>
      <c r="J1573" s="14"/>
      <c r="K1573" s="14"/>
      <c r="L1573" s="14"/>
      <c r="M1573" s="14"/>
    </row>
    <row r="1574" spans="2:13" s="7" customFormat="1" ht="13.5">
      <c r="B1574" s="30"/>
      <c r="C1574" s="30"/>
      <c r="D1574" s="31"/>
      <c r="E1574" s="35"/>
      <c r="F1574" s="130"/>
      <c r="G1574" s="14"/>
      <c r="H1574" s="14"/>
      <c r="I1574" s="14"/>
      <c r="J1574" s="14"/>
      <c r="K1574" s="14"/>
      <c r="L1574" s="14"/>
      <c r="M1574" s="14"/>
    </row>
    <row r="1575" spans="2:13" s="7" customFormat="1" ht="13.5">
      <c r="B1575" s="30"/>
      <c r="C1575" s="30"/>
      <c r="D1575" s="31"/>
      <c r="E1575" s="35"/>
      <c r="F1575" s="130"/>
      <c r="G1575" s="14"/>
      <c r="H1575" s="14"/>
      <c r="I1575" s="14"/>
      <c r="J1575" s="14"/>
      <c r="K1575" s="14"/>
      <c r="L1575" s="14"/>
      <c r="M1575" s="14"/>
    </row>
    <row r="1576" spans="2:13" s="7" customFormat="1" ht="13.5">
      <c r="B1576" s="30"/>
      <c r="C1576" s="30"/>
      <c r="D1576" s="31"/>
      <c r="E1576" s="35"/>
      <c r="F1576" s="130"/>
      <c r="G1576" s="14"/>
      <c r="H1576" s="14"/>
      <c r="I1576" s="14"/>
      <c r="J1576" s="14"/>
      <c r="K1576" s="14"/>
      <c r="L1576" s="14"/>
      <c r="M1576" s="14"/>
    </row>
    <row r="1577" spans="2:13" s="7" customFormat="1" ht="13.5">
      <c r="B1577" s="30"/>
      <c r="C1577" s="30"/>
      <c r="D1577" s="31"/>
      <c r="E1577" s="35"/>
      <c r="F1577" s="130"/>
      <c r="G1577" s="14"/>
      <c r="H1577" s="14"/>
      <c r="I1577" s="14"/>
      <c r="J1577" s="14"/>
      <c r="K1577" s="14"/>
      <c r="L1577" s="14"/>
      <c r="M1577" s="14"/>
    </row>
    <row r="1578" spans="2:13" s="7" customFormat="1" ht="13.5">
      <c r="B1578" s="30"/>
      <c r="C1578" s="30"/>
      <c r="D1578" s="31"/>
      <c r="E1578" s="35"/>
      <c r="F1578" s="130"/>
      <c r="G1578" s="14"/>
      <c r="H1578" s="14"/>
      <c r="I1578" s="14"/>
      <c r="J1578" s="14"/>
      <c r="K1578" s="14"/>
      <c r="L1578" s="14"/>
      <c r="M1578" s="14"/>
    </row>
    <row r="1579" spans="2:13" s="7" customFormat="1" ht="13.5">
      <c r="B1579" s="30"/>
      <c r="C1579" s="30"/>
      <c r="D1579" s="31"/>
      <c r="E1579" s="35"/>
      <c r="F1579" s="130"/>
      <c r="G1579" s="14"/>
      <c r="H1579" s="14"/>
      <c r="I1579" s="14"/>
      <c r="J1579" s="14"/>
      <c r="K1579" s="14"/>
      <c r="L1579" s="14"/>
      <c r="M1579" s="14"/>
    </row>
    <row r="1580" spans="2:13" s="7" customFormat="1" ht="13.5">
      <c r="B1580" s="30"/>
      <c r="C1580" s="30"/>
      <c r="D1580" s="31"/>
      <c r="E1580" s="35"/>
      <c r="F1580" s="130"/>
      <c r="G1580" s="14"/>
      <c r="H1580" s="14"/>
      <c r="I1580" s="14"/>
      <c r="J1580" s="14"/>
      <c r="K1580" s="14"/>
      <c r="L1580" s="14"/>
      <c r="M1580" s="14"/>
    </row>
    <row r="1581" spans="2:13" s="7" customFormat="1" ht="13.5">
      <c r="B1581" s="30"/>
      <c r="C1581" s="30"/>
      <c r="D1581" s="31"/>
      <c r="E1581" s="35"/>
      <c r="F1581" s="130"/>
      <c r="G1581" s="14"/>
      <c r="H1581" s="14"/>
      <c r="I1581" s="14"/>
      <c r="J1581" s="14"/>
      <c r="K1581" s="14"/>
      <c r="L1581" s="14"/>
      <c r="M1581" s="14"/>
    </row>
    <row r="1582" spans="2:13" s="7" customFormat="1" ht="13.5">
      <c r="B1582" s="30"/>
      <c r="C1582" s="30"/>
      <c r="D1582" s="31"/>
      <c r="E1582" s="35"/>
      <c r="F1582" s="130"/>
      <c r="G1582" s="14"/>
      <c r="H1582" s="14"/>
      <c r="I1582" s="14"/>
      <c r="J1582" s="14"/>
      <c r="K1582" s="14"/>
      <c r="L1582" s="14"/>
      <c r="M1582" s="14"/>
    </row>
    <row r="1583" spans="2:13" s="7" customFormat="1" ht="13.5">
      <c r="B1583" s="30"/>
      <c r="C1583" s="30"/>
      <c r="D1583" s="31"/>
      <c r="E1583" s="35"/>
      <c r="F1583" s="130"/>
      <c r="G1583" s="14"/>
      <c r="H1583" s="14"/>
      <c r="I1583" s="14"/>
      <c r="J1583" s="14"/>
      <c r="K1583" s="14"/>
      <c r="L1583" s="14"/>
      <c r="M1583" s="14"/>
    </row>
    <row r="1584" spans="2:13" s="7" customFormat="1" ht="13.5">
      <c r="B1584" s="30"/>
      <c r="C1584" s="30"/>
      <c r="D1584" s="31"/>
      <c r="E1584" s="35"/>
      <c r="F1584" s="130"/>
      <c r="G1584" s="14"/>
      <c r="H1584" s="14"/>
      <c r="I1584" s="14"/>
      <c r="J1584" s="14"/>
      <c r="K1584" s="14"/>
      <c r="L1584" s="14"/>
      <c r="M1584" s="14"/>
    </row>
    <row r="1585" spans="2:13" s="7" customFormat="1" ht="13.5">
      <c r="B1585" s="30"/>
      <c r="C1585" s="30"/>
      <c r="D1585" s="31"/>
      <c r="E1585" s="35"/>
      <c r="F1585" s="130"/>
      <c r="G1585" s="14"/>
      <c r="H1585" s="14"/>
      <c r="I1585" s="14"/>
      <c r="J1585" s="14"/>
      <c r="K1585" s="14"/>
      <c r="L1585" s="14"/>
      <c r="M1585" s="14"/>
    </row>
    <row r="1586" spans="2:13" s="7" customFormat="1" ht="13.5">
      <c r="B1586" s="30"/>
      <c r="C1586" s="30"/>
      <c r="D1586" s="31"/>
      <c r="E1586" s="35"/>
      <c r="F1586" s="130"/>
      <c r="G1586" s="14"/>
      <c r="H1586" s="14"/>
      <c r="I1586" s="14"/>
      <c r="J1586" s="14"/>
      <c r="K1586" s="14"/>
      <c r="L1586" s="14"/>
      <c r="M1586" s="14"/>
    </row>
    <row r="1587" spans="2:13" s="7" customFormat="1" ht="13.5">
      <c r="B1587" s="30"/>
      <c r="C1587" s="30"/>
      <c r="D1587" s="31"/>
      <c r="E1587" s="35"/>
      <c r="F1587" s="130"/>
      <c r="G1587" s="14"/>
      <c r="H1587" s="14"/>
      <c r="I1587" s="14"/>
      <c r="J1587" s="14"/>
      <c r="K1587" s="14"/>
      <c r="L1587" s="14"/>
      <c r="M1587" s="14"/>
    </row>
    <row r="1588" spans="2:13" s="7" customFormat="1" ht="13.5">
      <c r="B1588" s="30"/>
      <c r="C1588" s="30"/>
      <c r="D1588" s="31"/>
      <c r="E1588" s="35"/>
      <c r="F1588" s="130"/>
      <c r="G1588" s="14"/>
      <c r="H1588" s="14"/>
      <c r="I1588" s="14"/>
      <c r="J1588" s="14"/>
      <c r="K1588" s="14"/>
      <c r="L1588" s="14"/>
      <c r="M1588" s="14"/>
    </row>
    <row r="1589" spans="2:13" s="7" customFormat="1" ht="13.5">
      <c r="B1589" s="30"/>
      <c r="C1589" s="30"/>
      <c r="D1589" s="31"/>
      <c r="E1589" s="35"/>
      <c r="F1589" s="130"/>
      <c r="G1589" s="14"/>
      <c r="H1589" s="14"/>
      <c r="I1589" s="14"/>
      <c r="J1589" s="14"/>
      <c r="K1589" s="14"/>
      <c r="L1589" s="14"/>
      <c r="M1589" s="14"/>
    </row>
    <row r="1590" spans="2:13" s="7" customFormat="1" ht="13.5">
      <c r="B1590" s="30"/>
      <c r="C1590" s="30"/>
      <c r="D1590" s="31"/>
      <c r="E1590" s="35"/>
      <c r="F1590" s="130"/>
      <c r="G1590" s="14"/>
      <c r="H1590" s="14"/>
      <c r="I1590" s="14"/>
      <c r="J1590" s="14"/>
      <c r="K1590" s="14"/>
      <c r="L1590" s="14"/>
      <c r="M1590" s="14"/>
    </row>
    <row r="1591" spans="2:13" s="7" customFormat="1" ht="13.5">
      <c r="B1591" s="30"/>
      <c r="C1591" s="30"/>
      <c r="D1591" s="31"/>
      <c r="E1591" s="35"/>
      <c r="F1591" s="130"/>
      <c r="G1591" s="14"/>
      <c r="H1591" s="14"/>
      <c r="I1591" s="14"/>
      <c r="J1591" s="14"/>
      <c r="K1591" s="14"/>
      <c r="L1591" s="14"/>
      <c r="M1591" s="14"/>
    </row>
    <row r="1592" spans="2:13" s="7" customFormat="1" ht="13.5">
      <c r="B1592" s="30"/>
      <c r="C1592" s="30"/>
      <c r="D1592" s="31"/>
      <c r="E1592" s="35"/>
      <c r="F1592" s="130"/>
      <c r="G1592" s="14"/>
      <c r="H1592" s="14"/>
      <c r="I1592" s="14"/>
      <c r="J1592" s="14"/>
      <c r="K1592" s="14"/>
      <c r="L1592" s="14"/>
      <c r="M1592" s="14"/>
    </row>
    <row r="1593" spans="2:13" s="7" customFormat="1" ht="13.5">
      <c r="B1593" s="30"/>
      <c r="C1593" s="30"/>
      <c r="D1593" s="31"/>
      <c r="E1593" s="35"/>
      <c r="F1593" s="130"/>
      <c r="G1593" s="14"/>
      <c r="H1593" s="14"/>
      <c r="I1593" s="14"/>
      <c r="J1593" s="14"/>
      <c r="K1593" s="14"/>
      <c r="L1593" s="14"/>
      <c r="M1593" s="14"/>
    </row>
    <row r="1594" spans="2:13" s="7" customFormat="1" ht="13.5">
      <c r="B1594" s="30"/>
      <c r="C1594" s="30"/>
      <c r="D1594" s="31"/>
      <c r="E1594" s="35"/>
      <c r="F1594" s="130"/>
      <c r="G1594" s="14"/>
      <c r="H1594" s="14"/>
      <c r="I1594" s="14"/>
      <c r="J1594" s="14"/>
      <c r="K1594" s="14"/>
      <c r="L1594" s="14"/>
      <c r="M1594" s="14"/>
    </row>
    <row r="1595" spans="2:13" s="7" customFormat="1" ht="13.5">
      <c r="B1595" s="30"/>
      <c r="C1595" s="30"/>
      <c r="D1595" s="31"/>
      <c r="E1595" s="35"/>
      <c r="F1595" s="130"/>
      <c r="G1595" s="14"/>
      <c r="H1595" s="14"/>
      <c r="I1595" s="14"/>
      <c r="J1595" s="14"/>
      <c r="K1595" s="14"/>
      <c r="L1595" s="14"/>
      <c r="M1595" s="14"/>
    </row>
    <row r="1596" spans="2:13" s="7" customFormat="1" ht="13.5">
      <c r="B1596" s="30"/>
      <c r="C1596" s="30"/>
      <c r="D1596" s="31"/>
      <c r="E1596" s="35"/>
      <c r="F1596" s="130"/>
      <c r="G1596" s="14"/>
      <c r="H1596" s="14"/>
      <c r="I1596" s="14"/>
      <c r="J1596" s="14"/>
      <c r="K1596" s="14"/>
      <c r="L1596" s="14"/>
      <c r="M1596" s="14"/>
    </row>
    <row r="1597" spans="2:13" s="7" customFormat="1" ht="13.5">
      <c r="B1597" s="30"/>
      <c r="C1597" s="30"/>
      <c r="D1597" s="31"/>
      <c r="E1597" s="35"/>
      <c r="F1597" s="130"/>
      <c r="G1597" s="14"/>
      <c r="H1597" s="14"/>
      <c r="I1597" s="14"/>
      <c r="J1597" s="14"/>
      <c r="K1597" s="14"/>
      <c r="L1597" s="14"/>
      <c r="M1597" s="14"/>
    </row>
    <row r="1598" spans="2:13" s="7" customFormat="1" ht="13.5">
      <c r="B1598" s="30"/>
      <c r="C1598" s="30"/>
      <c r="D1598" s="31"/>
      <c r="E1598" s="35"/>
      <c r="F1598" s="130"/>
      <c r="G1598" s="14"/>
      <c r="H1598" s="14"/>
      <c r="I1598" s="14"/>
      <c r="J1598" s="14"/>
      <c r="K1598" s="14"/>
      <c r="L1598" s="14"/>
      <c r="M1598" s="14"/>
    </row>
    <row r="1599" spans="2:13" s="7" customFormat="1" ht="13.5">
      <c r="B1599" s="30"/>
      <c r="C1599" s="30"/>
      <c r="D1599" s="31"/>
      <c r="E1599" s="35"/>
      <c r="F1599" s="130"/>
      <c r="G1599" s="14"/>
      <c r="H1599" s="14"/>
      <c r="I1599" s="14"/>
      <c r="J1599" s="14"/>
      <c r="K1599" s="14"/>
      <c r="L1599" s="14"/>
      <c r="M1599" s="14"/>
    </row>
    <row r="1600" spans="2:13" s="7" customFormat="1" ht="13.5">
      <c r="B1600" s="30"/>
      <c r="C1600" s="30"/>
      <c r="D1600" s="31"/>
      <c r="E1600" s="35"/>
      <c r="F1600" s="130"/>
      <c r="G1600" s="14"/>
      <c r="H1600" s="14"/>
      <c r="I1600" s="14"/>
      <c r="J1600" s="14"/>
      <c r="K1600" s="14"/>
      <c r="L1600" s="14"/>
      <c r="M1600" s="14"/>
    </row>
    <row r="1601" spans="2:13" s="7" customFormat="1" ht="13.5">
      <c r="B1601" s="30"/>
      <c r="C1601" s="30"/>
      <c r="D1601" s="31"/>
      <c r="E1601" s="35"/>
      <c r="F1601" s="130"/>
      <c r="G1601" s="14"/>
      <c r="H1601" s="14"/>
      <c r="I1601" s="14"/>
      <c r="J1601" s="14"/>
      <c r="K1601" s="14"/>
      <c r="L1601" s="14"/>
      <c r="M1601" s="14"/>
    </row>
    <row r="1602" spans="2:13" s="7" customFormat="1" ht="13.5">
      <c r="B1602" s="30"/>
      <c r="C1602" s="30"/>
      <c r="D1602" s="31"/>
      <c r="E1602" s="35"/>
      <c r="F1602" s="130"/>
      <c r="G1602" s="14"/>
      <c r="H1602" s="14"/>
      <c r="I1602" s="14"/>
      <c r="J1602" s="14"/>
      <c r="K1602" s="14"/>
      <c r="L1602" s="14"/>
      <c r="M1602" s="14"/>
    </row>
    <row r="1603" spans="2:13" s="7" customFormat="1" ht="13.5">
      <c r="B1603" s="30"/>
      <c r="C1603" s="30"/>
      <c r="D1603" s="31"/>
      <c r="E1603" s="35"/>
      <c r="F1603" s="130"/>
      <c r="G1603" s="14"/>
      <c r="H1603" s="14"/>
      <c r="I1603" s="14"/>
      <c r="J1603" s="14"/>
      <c r="K1603" s="14"/>
      <c r="L1603" s="14"/>
      <c r="M1603" s="14"/>
    </row>
    <row r="1604" spans="2:13" s="7" customFormat="1" ht="13.5">
      <c r="B1604" s="30"/>
      <c r="C1604" s="30"/>
      <c r="D1604" s="31"/>
      <c r="E1604" s="35"/>
      <c r="F1604" s="130"/>
      <c r="G1604" s="14"/>
      <c r="H1604" s="14"/>
      <c r="I1604" s="14"/>
      <c r="J1604" s="14"/>
      <c r="K1604" s="14"/>
      <c r="L1604" s="14"/>
      <c r="M1604" s="14"/>
    </row>
    <row r="1605" spans="2:13" s="7" customFormat="1" ht="13.5">
      <c r="B1605" s="30"/>
      <c r="C1605" s="30"/>
      <c r="D1605" s="31"/>
      <c r="E1605" s="35"/>
      <c r="F1605" s="130"/>
      <c r="G1605" s="14"/>
      <c r="H1605" s="14"/>
      <c r="I1605" s="14"/>
      <c r="J1605" s="14"/>
      <c r="K1605" s="14"/>
      <c r="L1605" s="14"/>
      <c r="M1605" s="14"/>
    </row>
    <row r="1606" spans="2:13" s="7" customFormat="1" ht="13.5">
      <c r="B1606" s="30"/>
      <c r="C1606" s="30"/>
      <c r="D1606" s="31"/>
      <c r="E1606" s="35"/>
      <c r="F1606" s="130"/>
      <c r="G1606" s="14"/>
      <c r="H1606" s="14"/>
      <c r="I1606" s="14"/>
      <c r="J1606" s="14"/>
      <c r="K1606" s="14"/>
      <c r="L1606" s="14"/>
      <c r="M1606" s="14"/>
    </row>
    <row r="1607" spans="2:13" s="7" customFormat="1" ht="13.5">
      <c r="B1607" s="30"/>
      <c r="C1607" s="30"/>
      <c r="D1607" s="31"/>
      <c r="E1607" s="35"/>
      <c r="F1607" s="130"/>
      <c r="G1607" s="14"/>
      <c r="H1607" s="14"/>
      <c r="I1607" s="14"/>
      <c r="J1607" s="14"/>
      <c r="K1607" s="14"/>
      <c r="L1607" s="14"/>
      <c r="M1607" s="14"/>
    </row>
    <row r="1608" spans="2:13" s="7" customFormat="1" ht="13.5">
      <c r="B1608" s="30"/>
      <c r="C1608" s="30"/>
      <c r="D1608" s="31"/>
      <c r="E1608" s="35"/>
      <c r="F1608" s="130"/>
      <c r="G1608" s="14"/>
      <c r="H1608" s="14"/>
      <c r="I1608" s="14"/>
      <c r="J1608" s="14"/>
      <c r="K1608" s="14"/>
      <c r="L1608" s="14"/>
      <c r="M1608" s="14"/>
    </row>
    <row r="1609" spans="2:13" s="7" customFormat="1" ht="13.5">
      <c r="B1609" s="30"/>
      <c r="C1609" s="30"/>
      <c r="D1609" s="31"/>
      <c r="E1609" s="35"/>
      <c r="F1609" s="130"/>
      <c r="G1609" s="14"/>
      <c r="H1609" s="14"/>
      <c r="I1609" s="14"/>
      <c r="J1609" s="14"/>
      <c r="K1609" s="14"/>
      <c r="L1609" s="14"/>
      <c r="M1609" s="14"/>
    </row>
    <row r="1610" spans="2:13" s="7" customFormat="1" ht="13.5">
      <c r="B1610" s="30"/>
      <c r="C1610" s="30"/>
      <c r="D1610" s="31"/>
      <c r="E1610" s="35"/>
      <c r="F1610" s="130"/>
      <c r="G1610" s="14"/>
      <c r="H1610" s="14"/>
      <c r="I1610" s="14"/>
      <c r="J1610" s="14"/>
      <c r="K1610" s="14"/>
      <c r="L1610" s="14"/>
      <c r="M1610" s="14"/>
    </row>
    <row r="1611" spans="2:13" s="7" customFormat="1" ht="13.5">
      <c r="B1611" s="30"/>
      <c r="C1611" s="30"/>
      <c r="D1611" s="31"/>
      <c r="E1611" s="35"/>
      <c r="F1611" s="130"/>
      <c r="G1611" s="14"/>
      <c r="H1611" s="14"/>
      <c r="I1611" s="14"/>
      <c r="J1611" s="14"/>
      <c r="K1611" s="14"/>
      <c r="L1611" s="14"/>
      <c r="M1611" s="14"/>
    </row>
    <row r="1612" spans="2:13" s="7" customFormat="1" ht="13.5">
      <c r="B1612" s="30"/>
      <c r="C1612" s="30"/>
      <c r="D1612" s="31"/>
      <c r="E1612" s="35"/>
      <c r="F1612" s="130"/>
      <c r="G1612" s="14"/>
      <c r="H1612" s="14"/>
      <c r="I1612" s="14"/>
      <c r="J1612" s="14"/>
      <c r="K1612" s="14"/>
      <c r="L1612" s="14"/>
      <c r="M1612" s="14"/>
    </row>
    <row r="1613" spans="2:13" s="7" customFormat="1" ht="13.5">
      <c r="B1613" s="30"/>
      <c r="C1613" s="30"/>
      <c r="D1613" s="31"/>
      <c r="E1613" s="35"/>
      <c r="F1613" s="130"/>
      <c r="G1613" s="14"/>
      <c r="H1613" s="14"/>
      <c r="I1613" s="14"/>
      <c r="J1613" s="14"/>
      <c r="K1613" s="14"/>
      <c r="L1613" s="14"/>
      <c r="M1613" s="14"/>
    </row>
    <row r="1614" spans="2:13" s="7" customFormat="1" ht="13.5">
      <c r="B1614" s="30"/>
      <c r="C1614" s="30"/>
      <c r="D1614" s="31"/>
      <c r="E1614" s="35"/>
      <c r="F1614" s="130"/>
      <c r="G1614" s="14"/>
      <c r="H1614" s="14"/>
      <c r="I1614" s="14"/>
      <c r="J1614" s="14"/>
      <c r="K1614" s="14"/>
      <c r="L1614" s="14"/>
      <c r="M1614" s="14"/>
    </row>
    <row r="1615" spans="2:13" s="7" customFormat="1" ht="13.5">
      <c r="B1615" s="30"/>
      <c r="C1615" s="30"/>
      <c r="D1615" s="31"/>
      <c r="E1615" s="35"/>
      <c r="F1615" s="130"/>
      <c r="G1615" s="14"/>
      <c r="H1615" s="14"/>
      <c r="I1615" s="14"/>
      <c r="J1615" s="14"/>
      <c r="K1615" s="14"/>
      <c r="L1615" s="14"/>
      <c r="M1615" s="14"/>
    </row>
    <row r="1616" spans="2:13" s="7" customFormat="1" ht="13.5">
      <c r="B1616" s="30"/>
      <c r="C1616" s="30"/>
      <c r="D1616" s="31"/>
      <c r="E1616" s="35"/>
      <c r="F1616" s="130"/>
      <c r="G1616" s="14"/>
      <c r="H1616" s="14"/>
      <c r="I1616" s="14"/>
      <c r="J1616" s="14"/>
      <c r="K1616" s="14"/>
      <c r="L1616" s="14"/>
      <c r="M1616" s="14"/>
    </row>
    <row r="1617" spans="2:13" s="7" customFormat="1" ht="13.5">
      <c r="B1617" s="30"/>
      <c r="C1617" s="30"/>
      <c r="D1617" s="31"/>
      <c r="E1617" s="35"/>
      <c r="F1617" s="130"/>
      <c r="G1617" s="14"/>
      <c r="H1617" s="14"/>
      <c r="I1617" s="14"/>
      <c r="J1617" s="14"/>
      <c r="K1617" s="14"/>
      <c r="L1617" s="14"/>
      <c r="M1617" s="14"/>
    </row>
    <row r="1618" spans="2:13" s="7" customFormat="1" ht="13.5">
      <c r="B1618" s="30"/>
      <c r="C1618" s="30"/>
      <c r="D1618" s="31"/>
      <c r="E1618" s="35"/>
      <c r="F1618" s="130"/>
      <c r="G1618" s="14"/>
      <c r="H1618" s="14"/>
      <c r="I1618" s="14"/>
      <c r="J1618" s="14"/>
      <c r="K1618" s="14"/>
      <c r="L1618" s="14"/>
      <c r="M1618" s="14"/>
    </row>
    <row r="1619" spans="2:13" s="7" customFormat="1" ht="13.5">
      <c r="B1619" s="30"/>
      <c r="C1619" s="30"/>
      <c r="D1619" s="31"/>
      <c r="E1619" s="35"/>
      <c r="F1619" s="130"/>
      <c r="G1619" s="14"/>
      <c r="H1619" s="14"/>
      <c r="I1619" s="14"/>
      <c r="J1619" s="14"/>
      <c r="K1619" s="14"/>
      <c r="L1619" s="14"/>
      <c r="M1619" s="14"/>
    </row>
    <row r="1620" spans="2:13" s="7" customFormat="1" ht="13.5">
      <c r="B1620" s="30"/>
      <c r="C1620" s="30"/>
      <c r="D1620" s="31"/>
      <c r="E1620" s="35"/>
      <c r="F1620" s="130"/>
      <c r="G1620" s="14"/>
      <c r="H1620" s="14"/>
      <c r="I1620" s="14"/>
      <c r="J1620" s="14"/>
      <c r="K1620" s="14"/>
      <c r="L1620" s="14"/>
      <c r="M1620" s="14"/>
    </row>
    <row r="1621" spans="2:13" s="7" customFormat="1" ht="13.5">
      <c r="B1621" s="30"/>
      <c r="C1621" s="30"/>
      <c r="D1621" s="31"/>
      <c r="E1621" s="35"/>
      <c r="F1621" s="130"/>
      <c r="G1621" s="14"/>
      <c r="H1621" s="14"/>
      <c r="I1621" s="14"/>
      <c r="J1621" s="14"/>
      <c r="K1621" s="14"/>
      <c r="L1621" s="14"/>
      <c r="M1621" s="14"/>
    </row>
    <row r="1622" spans="2:13" s="7" customFormat="1" ht="13.5">
      <c r="B1622" s="30"/>
      <c r="C1622" s="30"/>
      <c r="D1622" s="31"/>
      <c r="E1622" s="35"/>
      <c r="F1622" s="130"/>
      <c r="G1622" s="14"/>
      <c r="H1622" s="14"/>
      <c r="I1622" s="14"/>
      <c r="J1622" s="14"/>
      <c r="K1622" s="14"/>
      <c r="L1622" s="14"/>
      <c r="M1622" s="14"/>
    </row>
    <row r="1623" spans="2:13" s="7" customFormat="1" ht="13.5">
      <c r="B1623" s="30"/>
      <c r="C1623" s="30"/>
      <c r="D1623" s="31"/>
      <c r="E1623" s="35"/>
      <c r="F1623" s="130"/>
      <c r="G1623" s="14"/>
      <c r="H1623" s="14"/>
      <c r="I1623" s="14"/>
      <c r="J1623" s="14"/>
      <c r="K1623" s="14"/>
      <c r="L1623" s="14"/>
      <c r="M1623" s="14"/>
    </row>
    <row r="1624" spans="2:13" s="7" customFormat="1" ht="13.5">
      <c r="B1624" s="30"/>
      <c r="C1624" s="30"/>
      <c r="D1624" s="31"/>
      <c r="E1624" s="35"/>
      <c r="F1624" s="130"/>
      <c r="G1624" s="14"/>
      <c r="H1624" s="14"/>
      <c r="I1624" s="14"/>
      <c r="J1624" s="14"/>
      <c r="K1624" s="14"/>
      <c r="L1624" s="14"/>
      <c r="M1624" s="14"/>
    </row>
    <row r="1625" spans="2:13" s="7" customFormat="1" ht="13.5">
      <c r="B1625" s="30"/>
      <c r="C1625" s="30"/>
      <c r="D1625" s="31"/>
      <c r="E1625" s="35"/>
      <c r="F1625" s="130"/>
      <c r="G1625" s="14"/>
      <c r="H1625" s="14"/>
      <c r="I1625" s="14"/>
      <c r="J1625" s="14"/>
      <c r="K1625" s="14"/>
      <c r="L1625" s="14"/>
      <c r="M1625" s="14"/>
    </row>
    <row r="1626" spans="2:13" s="7" customFormat="1" ht="13.5">
      <c r="B1626" s="30"/>
      <c r="C1626" s="30"/>
      <c r="D1626" s="31"/>
      <c r="E1626" s="35"/>
      <c r="F1626" s="130"/>
      <c r="G1626" s="14"/>
      <c r="H1626" s="14"/>
      <c r="I1626" s="14"/>
      <c r="J1626" s="14"/>
      <c r="K1626" s="14"/>
      <c r="L1626" s="14"/>
      <c r="M1626" s="14"/>
    </row>
    <row r="1627" spans="2:13" s="7" customFormat="1" ht="13.5">
      <c r="B1627" s="30"/>
      <c r="C1627" s="30"/>
      <c r="D1627" s="31"/>
      <c r="E1627" s="35"/>
      <c r="F1627" s="130"/>
      <c r="G1627" s="14"/>
      <c r="H1627" s="14"/>
      <c r="I1627" s="14"/>
      <c r="J1627" s="14"/>
      <c r="K1627" s="14"/>
      <c r="L1627" s="14"/>
      <c r="M1627" s="14"/>
    </row>
    <row r="1628" spans="2:13" s="7" customFormat="1" ht="13.5">
      <c r="B1628" s="30"/>
      <c r="C1628" s="30"/>
      <c r="D1628" s="31"/>
      <c r="E1628" s="35"/>
      <c r="F1628" s="130"/>
      <c r="G1628" s="14"/>
      <c r="H1628" s="14"/>
      <c r="I1628" s="14"/>
      <c r="J1628" s="14"/>
      <c r="K1628" s="14"/>
      <c r="L1628" s="14"/>
      <c r="M1628" s="14"/>
    </row>
    <row r="1629" spans="2:13" s="7" customFormat="1" ht="13.5">
      <c r="B1629" s="30"/>
      <c r="C1629" s="30"/>
      <c r="D1629" s="31"/>
      <c r="E1629" s="35"/>
      <c r="F1629" s="130"/>
      <c r="G1629" s="14"/>
      <c r="H1629" s="14"/>
      <c r="I1629" s="14"/>
      <c r="J1629" s="14"/>
      <c r="K1629" s="14"/>
      <c r="L1629" s="14"/>
      <c r="M1629" s="14"/>
    </row>
    <row r="1630" spans="2:13" s="7" customFormat="1" ht="13.5">
      <c r="B1630" s="30"/>
      <c r="C1630" s="30"/>
      <c r="D1630" s="31"/>
      <c r="E1630" s="35"/>
      <c r="F1630" s="130"/>
      <c r="G1630" s="14"/>
      <c r="H1630" s="14"/>
      <c r="I1630" s="14"/>
      <c r="J1630" s="14"/>
      <c r="K1630" s="14"/>
      <c r="L1630" s="14"/>
      <c r="M1630" s="14"/>
    </row>
    <row r="1631" spans="2:13" s="7" customFormat="1" ht="13.5">
      <c r="B1631" s="30"/>
      <c r="C1631" s="30"/>
      <c r="D1631" s="31"/>
      <c r="E1631" s="35"/>
      <c r="F1631" s="130"/>
      <c r="G1631" s="14"/>
      <c r="H1631" s="14"/>
      <c r="I1631" s="14"/>
      <c r="J1631" s="14"/>
      <c r="K1631" s="14"/>
      <c r="L1631" s="14"/>
      <c r="M1631" s="14"/>
    </row>
    <row r="1632" spans="2:13" s="7" customFormat="1" ht="13.5">
      <c r="B1632" s="30"/>
      <c r="C1632" s="30"/>
      <c r="D1632" s="31"/>
      <c r="E1632" s="35"/>
      <c r="F1632" s="130"/>
      <c r="G1632" s="14"/>
      <c r="H1632" s="14"/>
      <c r="I1632" s="14"/>
      <c r="J1632" s="14"/>
      <c r="K1632" s="14"/>
      <c r="L1632" s="14"/>
      <c r="M1632" s="14"/>
    </row>
    <row r="1633" spans="2:13" s="7" customFormat="1" ht="13.5">
      <c r="B1633" s="30"/>
      <c r="C1633" s="30"/>
      <c r="D1633" s="31"/>
      <c r="E1633" s="35"/>
      <c r="F1633" s="130"/>
      <c r="G1633" s="14"/>
      <c r="H1633" s="14"/>
      <c r="I1633" s="14"/>
      <c r="J1633" s="14"/>
      <c r="K1633" s="14"/>
      <c r="L1633" s="14"/>
      <c r="M1633" s="14"/>
    </row>
    <row r="1634" spans="2:13" s="7" customFormat="1" ht="13.5">
      <c r="B1634" s="30"/>
      <c r="C1634" s="30"/>
      <c r="D1634" s="31"/>
      <c r="E1634" s="35"/>
      <c r="F1634" s="130"/>
      <c r="G1634" s="14"/>
      <c r="H1634" s="14"/>
      <c r="I1634" s="14"/>
      <c r="J1634" s="14"/>
      <c r="K1634" s="14"/>
      <c r="L1634" s="14"/>
      <c r="M1634" s="14"/>
    </row>
    <row r="1635" spans="2:13" s="7" customFormat="1" ht="13.5">
      <c r="B1635" s="30"/>
      <c r="C1635" s="30"/>
      <c r="D1635" s="31"/>
      <c r="E1635" s="35"/>
      <c r="F1635" s="130"/>
      <c r="G1635" s="14"/>
      <c r="H1635" s="14"/>
      <c r="I1635" s="14"/>
      <c r="J1635" s="14"/>
      <c r="K1635" s="14"/>
      <c r="L1635" s="14"/>
      <c r="M1635" s="14"/>
    </row>
    <row r="1636" spans="2:13" s="7" customFormat="1" ht="13.5">
      <c r="B1636" s="30"/>
      <c r="C1636" s="30"/>
      <c r="D1636" s="31"/>
      <c r="E1636" s="35"/>
      <c r="F1636" s="130"/>
      <c r="G1636" s="14"/>
      <c r="H1636" s="14"/>
      <c r="I1636" s="14"/>
      <c r="J1636" s="14"/>
      <c r="K1636" s="14"/>
      <c r="L1636" s="14"/>
      <c r="M1636" s="14"/>
    </row>
    <row r="1637" spans="2:13" s="7" customFormat="1" ht="13.5">
      <c r="B1637" s="30"/>
      <c r="C1637" s="30"/>
      <c r="D1637" s="31"/>
      <c r="E1637" s="35"/>
      <c r="F1637" s="130"/>
      <c r="G1637" s="14"/>
      <c r="H1637" s="14"/>
      <c r="I1637" s="14"/>
      <c r="J1637" s="14"/>
      <c r="K1637" s="14"/>
      <c r="L1637" s="14"/>
      <c r="M1637" s="14"/>
    </row>
    <row r="1638" spans="2:13" s="7" customFormat="1" ht="13.5">
      <c r="B1638" s="30"/>
      <c r="C1638" s="30"/>
      <c r="D1638" s="31"/>
      <c r="E1638" s="35"/>
      <c r="F1638" s="130"/>
      <c r="G1638" s="14"/>
      <c r="H1638" s="14"/>
      <c r="I1638" s="14"/>
      <c r="J1638" s="14"/>
      <c r="K1638" s="14"/>
      <c r="L1638" s="14"/>
      <c r="M1638" s="14"/>
    </row>
    <row r="1639" spans="2:13" s="7" customFormat="1" ht="13.5">
      <c r="B1639" s="30"/>
      <c r="C1639" s="30"/>
      <c r="D1639" s="31"/>
      <c r="E1639" s="35"/>
      <c r="F1639" s="130"/>
      <c r="G1639" s="14"/>
      <c r="H1639" s="14"/>
      <c r="I1639" s="14"/>
      <c r="J1639" s="14"/>
      <c r="K1639" s="14"/>
      <c r="L1639" s="14"/>
      <c r="M1639" s="14"/>
    </row>
    <row r="1640" spans="2:13" s="7" customFormat="1" ht="13.5">
      <c r="B1640" s="30"/>
      <c r="C1640" s="30"/>
      <c r="D1640" s="31"/>
      <c r="E1640" s="35"/>
      <c r="F1640" s="130"/>
      <c r="G1640" s="14"/>
      <c r="H1640" s="14"/>
      <c r="I1640" s="14"/>
      <c r="J1640" s="14"/>
      <c r="K1640" s="14"/>
      <c r="L1640" s="14"/>
      <c r="M1640" s="14"/>
    </row>
    <row r="1641" spans="2:13" s="7" customFormat="1" ht="13.5">
      <c r="B1641" s="30"/>
      <c r="C1641" s="30"/>
      <c r="D1641" s="31"/>
      <c r="E1641" s="35"/>
      <c r="F1641" s="130"/>
      <c r="G1641" s="14"/>
      <c r="H1641" s="14"/>
      <c r="I1641" s="14"/>
      <c r="J1641" s="14"/>
      <c r="K1641" s="14"/>
      <c r="L1641" s="14"/>
      <c r="M1641" s="14"/>
    </row>
    <row r="1642" spans="2:13" s="7" customFormat="1" ht="13.5">
      <c r="B1642" s="30"/>
      <c r="C1642" s="30"/>
      <c r="D1642" s="31"/>
      <c r="E1642" s="35"/>
      <c r="F1642" s="130"/>
      <c r="G1642" s="14"/>
      <c r="H1642" s="14"/>
      <c r="I1642" s="14"/>
      <c r="J1642" s="14"/>
      <c r="K1642" s="14"/>
      <c r="L1642" s="14"/>
      <c r="M1642" s="14"/>
    </row>
    <row r="1643" spans="2:13" s="7" customFormat="1" ht="13.5">
      <c r="B1643" s="30"/>
      <c r="C1643" s="30"/>
      <c r="D1643" s="31"/>
      <c r="E1643" s="35"/>
      <c r="F1643" s="130"/>
      <c r="G1643" s="14"/>
      <c r="H1643" s="14"/>
      <c r="I1643" s="14"/>
      <c r="J1643" s="14"/>
      <c r="K1643" s="14"/>
      <c r="L1643" s="14"/>
      <c r="M1643" s="14"/>
    </row>
    <row r="1644" spans="2:13" s="7" customFormat="1" ht="13.5">
      <c r="B1644" s="30"/>
      <c r="C1644" s="30"/>
      <c r="D1644" s="31"/>
      <c r="E1644" s="35"/>
      <c r="F1644" s="130"/>
      <c r="G1644" s="14"/>
      <c r="H1644" s="14"/>
      <c r="I1644" s="14"/>
      <c r="J1644" s="14"/>
      <c r="K1644" s="14"/>
      <c r="L1644" s="14"/>
      <c r="M1644" s="14"/>
    </row>
    <row r="1645" spans="2:13" s="7" customFormat="1" ht="13.5">
      <c r="B1645" s="30"/>
      <c r="C1645" s="30"/>
      <c r="D1645" s="31"/>
      <c r="E1645" s="35"/>
      <c r="F1645" s="130"/>
      <c r="G1645" s="14"/>
      <c r="H1645" s="14"/>
      <c r="I1645" s="14"/>
      <c r="J1645" s="14"/>
      <c r="K1645" s="14"/>
      <c r="L1645" s="14"/>
      <c r="M1645" s="14"/>
    </row>
    <row r="1646" spans="2:13" s="7" customFormat="1" ht="13.5">
      <c r="B1646" s="30"/>
      <c r="C1646" s="30"/>
      <c r="D1646" s="31"/>
      <c r="E1646" s="35"/>
      <c r="F1646" s="130"/>
      <c r="G1646" s="14"/>
      <c r="H1646" s="14"/>
      <c r="I1646" s="14"/>
      <c r="J1646" s="14"/>
      <c r="K1646" s="14"/>
      <c r="L1646" s="14"/>
      <c r="M1646" s="14"/>
    </row>
    <row r="1647" spans="2:13" s="7" customFormat="1" ht="13.5">
      <c r="B1647" s="30"/>
      <c r="C1647" s="30"/>
      <c r="D1647" s="31"/>
      <c r="E1647" s="35"/>
      <c r="F1647" s="130"/>
      <c r="G1647" s="14"/>
      <c r="H1647" s="14"/>
      <c r="I1647" s="14"/>
      <c r="J1647" s="14"/>
      <c r="K1647" s="14"/>
      <c r="L1647" s="14"/>
      <c r="M1647" s="14"/>
    </row>
    <row r="1648" spans="2:13" s="7" customFormat="1" ht="13.5">
      <c r="B1648" s="30"/>
      <c r="C1648" s="30"/>
      <c r="D1648" s="31"/>
      <c r="E1648" s="35"/>
      <c r="F1648" s="130"/>
      <c r="G1648" s="14"/>
      <c r="H1648" s="14"/>
      <c r="I1648" s="14"/>
      <c r="J1648" s="14"/>
      <c r="K1648" s="14"/>
      <c r="L1648" s="14"/>
      <c r="M1648" s="14"/>
    </row>
    <row r="1649" spans="2:13" s="7" customFormat="1" ht="13.5">
      <c r="B1649" s="30"/>
      <c r="C1649" s="30"/>
      <c r="D1649" s="31"/>
      <c r="E1649" s="35"/>
      <c r="F1649" s="130"/>
      <c r="G1649" s="14"/>
      <c r="H1649" s="14"/>
      <c r="I1649" s="14"/>
      <c r="J1649" s="14"/>
      <c r="K1649" s="14"/>
      <c r="L1649" s="14"/>
      <c r="M1649" s="14"/>
    </row>
    <row r="1650" spans="2:13" s="7" customFormat="1" ht="13.5">
      <c r="B1650" s="30"/>
      <c r="C1650" s="30"/>
      <c r="D1650" s="31"/>
      <c r="E1650" s="35"/>
      <c r="F1650" s="130"/>
      <c r="G1650" s="14"/>
      <c r="H1650" s="14"/>
      <c r="I1650" s="14"/>
      <c r="J1650" s="14"/>
      <c r="K1650" s="14"/>
      <c r="L1650" s="14"/>
      <c r="M1650" s="14"/>
    </row>
    <row r="1651" spans="2:13" s="7" customFormat="1" ht="13.5">
      <c r="B1651" s="30"/>
      <c r="C1651" s="30"/>
      <c r="D1651" s="31"/>
      <c r="E1651" s="35"/>
      <c r="F1651" s="130"/>
      <c r="G1651" s="14"/>
      <c r="H1651" s="14"/>
      <c r="I1651" s="14"/>
      <c r="J1651" s="14"/>
      <c r="K1651" s="14"/>
      <c r="L1651" s="14"/>
      <c r="M1651" s="14"/>
    </row>
    <row r="1652" spans="2:13" s="7" customFormat="1" ht="13.5">
      <c r="B1652" s="30"/>
      <c r="C1652" s="30"/>
      <c r="D1652" s="31"/>
      <c r="E1652" s="35"/>
      <c r="F1652" s="130"/>
      <c r="G1652" s="14"/>
      <c r="H1652" s="14"/>
      <c r="I1652" s="14"/>
      <c r="J1652" s="14"/>
      <c r="K1652" s="14"/>
      <c r="L1652" s="14"/>
      <c r="M1652" s="14"/>
    </row>
    <row r="1653" spans="2:13" s="7" customFormat="1" ht="13.5">
      <c r="B1653" s="30"/>
      <c r="C1653" s="30"/>
      <c r="D1653" s="31"/>
      <c r="E1653" s="35"/>
      <c r="F1653" s="130"/>
      <c r="G1653" s="14"/>
      <c r="H1653" s="14"/>
      <c r="I1653" s="14"/>
      <c r="J1653" s="14"/>
      <c r="K1653" s="14"/>
      <c r="L1653" s="14"/>
      <c r="M1653" s="14"/>
    </row>
    <row r="1654" spans="2:13" s="7" customFormat="1" ht="13.5">
      <c r="B1654" s="30"/>
      <c r="C1654" s="30"/>
      <c r="D1654" s="31"/>
      <c r="E1654" s="35"/>
      <c r="F1654" s="130"/>
      <c r="G1654" s="14"/>
      <c r="H1654" s="14"/>
      <c r="I1654" s="14"/>
      <c r="J1654" s="14"/>
      <c r="K1654" s="14"/>
      <c r="L1654" s="14"/>
      <c r="M1654" s="14"/>
    </row>
    <row r="1655" spans="2:13" s="7" customFormat="1" ht="13.5">
      <c r="B1655" s="30"/>
      <c r="C1655" s="30"/>
      <c r="D1655" s="31"/>
      <c r="E1655" s="35"/>
      <c r="F1655" s="130"/>
      <c r="G1655" s="14"/>
      <c r="H1655" s="14"/>
      <c r="I1655" s="14"/>
      <c r="J1655" s="14"/>
      <c r="K1655" s="14"/>
      <c r="L1655" s="14"/>
      <c r="M1655" s="14"/>
    </row>
    <row r="1656" spans="2:13" s="7" customFormat="1" ht="13.5">
      <c r="B1656" s="30"/>
      <c r="C1656" s="30"/>
      <c r="D1656" s="31"/>
      <c r="E1656" s="35"/>
      <c r="F1656" s="130"/>
      <c r="G1656" s="14"/>
      <c r="H1656" s="14"/>
      <c r="I1656" s="14"/>
      <c r="J1656" s="14"/>
      <c r="K1656" s="14"/>
      <c r="L1656" s="14"/>
      <c r="M1656" s="14"/>
    </row>
    <row r="1657" spans="2:13" s="7" customFormat="1" ht="13.5">
      <c r="B1657" s="30"/>
      <c r="C1657" s="30"/>
      <c r="D1657" s="31"/>
      <c r="E1657" s="35"/>
      <c r="F1657" s="130"/>
      <c r="G1657" s="14"/>
      <c r="H1657" s="14"/>
      <c r="I1657" s="14"/>
      <c r="J1657" s="14"/>
      <c r="K1657" s="14"/>
      <c r="L1657" s="14"/>
      <c r="M1657" s="14"/>
    </row>
    <row r="1658" spans="2:13" s="7" customFormat="1" ht="13.5">
      <c r="B1658" s="30"/>
      <c r="C1658" s="30"/>
      <c r="D1658" s="31"/>
      <c r="E1658" s="35"/>
      <c r="F1658" s="130"/>
      <c r="G1658" s="14"/>
      <c r="H1658" s="14"/>
      <c r="I1658" s="14"/>
      <c r="J1658" s="14"/>
      <c r="K1658" s="14"/>
      <c r="L1658" s="14"/>
      <c r="M1658" s="14"/>
    </row>
    <row r="1659" spans="2:13" s="7" customFormat="1" ht="13.5">
      <c r="B1659" s="30"/>
      <c r="C1659" s="30"/>
      <c r="D1659" s="31"/>
      <c r="E1659" s="35"/>
      <c r="F1659" s="130"/>
      <c r="G1659" s="14"/>
      <c r="H1659" s="14"/>
      <c r="I1659" s="14"/>
      <c r="J1659" s="14"/>
      <c r="K1659" s="14"/>
      <c r="L1659" s="14"/>
      <c r="M1659" s="14"/>
    </row>
    <row r="1660" spans="2:13" s="7" customFormat="1" ht="13.5">
      <c r="B1660" s="30"/>
      <c r="C1660" s="30"/>
      <c r="D1660" s="31"/>
      <c r="E1660" s="35"/>
      <c r="F1660" s="130"/>
      <c r="G1660" s="14"/>
      <c r="H1660" s="14"/>
      <c r="I1660" s="14"/>
      <c r="J1660" s="14"/>
      <c r="K1660" s="14"/>
      <c r="L1660" s="14"/>
      <c r="M1660" s="14"/>
    </row>
    <row r="1661" spans="2:13" s="7" customFormat="1" ht="13.5">
      <c r="B1661" s="30"/>
      <c r="C1661" s="30"/>
      <c r="D1661" s="31"/>
      <c r="E1661" s="35"/>
      <c r="F1661" s="130"/>
      <c r="G1661" s="14"/>
      <c r="H1661" s="14"/>
      <c r="I1661" s="14"/>
      <c r="J1661" s="14"/>
      <c r="K1661" s="14"/>
      <c r="L1661" s="14"/>
      <c r="M1661" s="14"/>
    </row>
    <row r="1662" spans="2:13" s="7" customFormat="1" ht="13.5">
      <c r="B1662" s="30"/>
      <c r="C1662" s="30"/>
      <c r="D1662" s="31"/>
      <c r="E1662" s="35"/>
      <c r="F1662" s="130"/>
      <c r="G1662" s="14"/>
      <c r="H1662" s="14"/>
      <c r="I1662" s="14"/>
      <c r="J1662" s="14"/>
      <c r="K1662" s="14"/>
      <c r="L1662" s="14"/>
      <c r="M1662" s="14"/>
    </row>
    <row r="1663" spans="2:13" s="7" customFormat="1" ht="13.5">
      <c r="B1663" s="30"/>
      <c r="C1663" s="30"/>
      <c r="D1663" s="31"/>
      <c r="E1663" s="35"/>
      <c r="F1663" s="130"/>
      <c r="G1663" s="14"/>
      <c r="H1663" s="14"/>
      <c r="I1663" s="14"/>
      <c r="J1663" s="14"/>
      <c r="K1663" s="14"/>
      <c r="L1663" s="14"/>
      <c r="M1663" s="14"/>
    </row>
    <row r="1664" spans="2:13" s="7" customFormat="1" ht="13.5">
      <c r="B1664" s="30"/>
      <c r="C1664" s="30"/>
      <c r="D1664" s="31"/>
      <c r="E1664" s="35"/>
      <c r="F1664" s="130"/>
      <c r="G1664" s="14"/>
      <c r="H1664" s="14"/>
      <c r="I1664" s="14"/>
      <c r="J1664" s="14"/>
      <c r="K1664" s="14"/>
      <c r="L1664" s="14"/>
      <c r="M1664" s="14"/>
    </row>
    <row r="1665" spans="2:13" s="7" customFormat="1" ht="13.5">
      <c r="B1665" s="30"/>
      <c r="C1665" s="30"/>
      <c r="D1665" s="31"/>
      <c r="E1665" s="35"/>
      <c r="F1665" s="130"/>
      <c r="G1665" s="14"/>
      <c r="H1665" s="14"/>
      <c r="I1665" s="14"/>
      <c r="J1665" s="14"/>
      <c r="K1665" s="14"/>
      <c r="L1665" s="14"/>
      <c r="M1665" s="14"/>
    </row>
    <row r="1666" spans="2:13" s="7" customFormat="1" ht="13.5">
      <c r="B1666" s="30"/>
      <c r="C1666" s="30"/>
      <c r="D1666" s="31"/>
      <c r="E1666" s="35"/>
      <c r="F1666" s="130"/>
      <c r="G1666" s="14"/>
      <c r="H1666" s="14"/>
      <c r="I1666" s="14"/>
      <c r="J1666" s="14"/>
      <c r="K1666" s="14"/>
      <c r="L1666" s="14"/>
      <c r="M1666" s="14"/>
    </row>
    <row r="1667" spans="2:13" s="7" customFormat="1" ht="13.5">
      <c r="B1667" s="30"/>
      <c r="C1667" s="30"/>
      <c r="D1667" s="31"/>
      <c r="E1667" s="35"/>
      <c r="F1667" s="130"/>
      <c r="G1667" s="14"/>
      <c r="H1667" s="14"/>
      <c r="I1667" s="14"/>
      <c r="J1667" s="14"/>
      <c r="K1667" s="14"/>
      <c r="L1667" s="14"/>
      <c r="M1667" s="14"/>
    </row>
    <row r="1668" spans="2:13" s="7" customFormat="1" ht="13.5">
      <c r="B1668" s="30"/>
      <c r="C1668" s="30"/>
      <c r="D1668" s="31"/>
      <c r="E1668" s="35"/>
      <c r="F1668" s="130"/>
      <c r="G1668" s="14"/>
      <c r="H1668" s="14"/>
      <c r="I1668" s="14"/>
      <c r="J1668" s="14"/>
      <c r="K1668" s="14"/>
      <c r="L1668" s="14"/>
      <c r="M1668" s="14"/>
    </row>
    <row r="1669" spans="2:13" s="7" customFormat="1" ht="13.5">
      <c r="B1669" s="30"/>
      <c r="C1669" s="30"/>
      <c r="D1669" s="31"/>
      <c r="E1669" s="35"/>
      <c r="F1669" s="130"/>
      <c r="G1669" s="14"/>
      <c r="H1669" s="14"/>
      <c r="I1669" s="14"/>
      <c r="J1669" s="14"/>
      <c r="K1669" s="14"/>
      <c r="L1669" s="14"/>
      <c r="M1669" s="14"/>
    </row>
    <row r="1670" spans="2:13" s="7" customFormat="1" ht="13.5">
      <c r="B1670" s="30"/>
      <c r="C1670" s="30"/>
      <c r="D1670" s="31"/>
      <c r="E1670" s="35"/>
      <c r="F1670" s="130"/>
      <c r="G1670" s="14"/>
      <c r="H1670" s="14"/>
      <c r="I1670" s="14"/>
      <c r="J1670" s="14"/>
      <c r="K1670" s="14"/>
      <c r="L1670" s="14"/>
      <c r="M1670" s="14"/>
    </row>
    <row r="1671" spans="2:13" s="7" customFormat="1" ht="13.5">
      <c r="B1671" s="30"/>
      <c r="C1671" s="30"/>
      <c r="D1671" s="31"/>
      <c r="E1671" s="35"/>
      <c r="F1671" s="130"/>
      <c r="G1671" s="14"/>
      <c r="H1671" s="14"/>
      <c r="I1671" s="14"/>
      <c r="J1671" s="14"/>
      <c r="K1671" s="14"/>
      <c r="L1671" s="14"/>
      <c r="M1671" s="14"/>
    </row>
    <row r="1672" spans="2:13" s="7" customFormat="1" ht="13.5">
      <c r="B1672" s="30"/>
      <c r="C1672" s="30"/>
      <c r="D1672" s="31"/>
      <c r="E1672" s="35"/>
      <c r="F1672" s="130"/>
      <c r="G1672" s="14"/>
      <c r="H1672" s="14"/>
      <c r="I1672" s="14"/>
      <c r="J1672" s="14"/>
      <c r="K1672" s="14"/>
      <c r="L1672" s="14"/>
      <c r="M1672" s="14"/>
    </row>
    <row r="1673" spans="2:13" s="7" customFormat="1" ht="13.5">
      <c r="B1673" s="30"/>
      <c r="C1673" s="30"/>
      <c r="D1673" s="31"/>
      <c r="E1673" s="35"/>
      <c r="F1673" s="130"/>
      <c r="G1673" s="14"/>
      <c r="H1673" s="14"/>
      <c r="I1673" s="14"/>
      <c r="J1673" s="14"/>
      <c r="K1673" s="14"/>
      <c r="L1673" s="14"/>
      <c r="M1673" s="14"/>
    </row>
    <row r="1674" spans="2:13" s="7" customFormat="1" ht="13.5">
      <c r="B1674" s="30"/>
      <c r="C1674" s="30"/>
      <c r="D1674" s="31"/>
      <c r="E1674" s="35"/>
      <c r="F1674" s="130"/>
      <c r="G1674" s="14"/>
      <c r="H1674" s="14"/>
      <c r="I1674" s="14"/>
      <c r="J1674" s="14"/>
      <c r="K1674" s="14"/>
      <c r="L1674" s="14"/>
      <c r="M1674" s="14"/>
    </row>
    <row r="1675" spans="2:13" s="7" customFormat="1" ht="13.5">
      <c r="B1675" s="30"/>
      <c r="C1675" s="30"/>
      <c r="D1675" s="31"/>
      <c r="E1675" s="35"/>
      <c r="F1675" s="130"/>
      <c r="G1675" s="14"/>
      <c r="H1675" s="14"/>
      <c r="I1675" s="14"/>
      <c r="J1675" s="14"/>
      <c r="K1675" s="14"/>
      <c r="L1675" s="14"/>
      <c r="M1675" s="14"/>
    </row>
    <row r="1676" spans="2:13" s="7" customFormat="1" ht="13.5">
      <c r="B1676" s="30"/>
      <c r="C1676" s="30"/>
      <c r="D1676" s="31"/>
      <c r="E1676" s="35"/>
      <c r="F1676" s="130"/>
      <c r="G1676" s="14"/>
      <c r="H1676" s="14"/>
      <c r="I1676" s="14"/>
      <c r="J1676" s="14"/>
      <c r="K1676" s="14"/>
      <c r="L1676" s="14"/>
      <c r="M1676" s="14"/>
    </row>
    <row r="1677" spans="2:13" s="7" customFormat="1" ht="13.5">
      <c r="B1677" s="30"/>
      <c r="C1677" s="30"/>
      <c r="D1677" s="31"/>
      <c r="E1677" s="35"/>
      <c r="F1677" s="130"/>
      <c r="G1677" s="14"/>
      <c r="H1677" s="14"/>
      <c r="I1677" s="14"/>
      <c r="J1677" s="14"/>
      <c r="K1677" s="14"/>
      <c r="L1677" s="14"/>
      <c r="M1677" s="14"/>
    </row>
    <row r="1678" spans="2:13" s="7" customFormat="1" ht="13.5">
      <c r="B1678" s="30"/>
      <c r="C1678" s="30"/>
      <c r="D1678" s="31"/>
      <c r="E1678" s="35"/>
      <c r="F1678" s="130"/>
      <c r="G1678" s="14"/>
      <c r="H1678" s="14"/>
      <c r="I1678" s="14"/>
      <c r="J1678" s="14"/>
      <c r="K1678" s="14"/>
      <c r="L1678" s="14"/>
      <c r="M1678" s="14"/>
    </row>
    <row r="1679" spans="2:13" s="7" customFormat="1" ht="13.5">
      <c r="B1679" s="30"/>
      <c r="C1679" s="30"/>
      <c r="D1679" s="31"/>
      <c r="E1679" s="35"/>
      <c r="F1679" s="130"/>
      <c r="G1679" s="14"/>
      <c r="H1679" s="14"/>
      <c r="I1679" s="14"/>
      <c r="J1679" s="14"/>
      <c r="K1679" s="14"/>
      <c r="L1679" s="14"/>
      <c r="M1679" s="14"/>
    </row>
    <row r="1680" spans="2:13" s="7" customFormat="1" ht="13.5">
      <c r="B1680" s="30"/>
      <c r="C1680" s="30"/>
      <c r="D1680" s="31"/>
      <c r="E1680" s="35"/>
      <c r="F1680" s="130"/>
      <c r="G1680" s="14"/>
      <c r="H1680" s="14"/>
      <c r="I1680" s="14"/>
      <c r="J1680" s="14"/>
      <c r="K1680" s="14"/>
      <c r="L1680" s="14"/>
      <c r="M1680" s="14"/>
    </row>
    <row r="1681" spans="2:13" s="7" customFormat="1" ht="13.5">
      <c r="B1681" s="30"/>
      <c r="C1681" s="30"/>
      <c r="D1681" s="31"/>
      <c r="E1681" s="35"/>
      <c r="F1681" s="130"/>
      <c r="G1681" s="14"/>
      <c r="H1681" s="14"/>
      <c r="I1681" s="14"/>
      <c r="J1681" s="14"/>
      <c r="K1681" s="14"/>
      <c r="L1681" s="14"/>
      <c r="M1681" s="14"/>
    </row>
    <row r="1682" spans="2:13" s="7" customFormat="1" ht="13.5">
      <c r="B1682" s="30"/>
      <c r="C1682" s="30"/>
      <c r="D1682" s="31"/>
      <c r="E1682" s="35"/>
      <c r="F1682" s="130"/>
      <c r="G1682" s="14"/>
      <c r="H1682" s="14"/>
      <c r="I1682" s="14"/>
      <c r="J1682" s="14"/>
      <c r="K1682" s="14"/>
      <c r="L1682" s="14"/>
      <c r="M1682" s="14"/>
    </row>
    <row r="1683" spans="2:13" s="7" customFormat="1" ht="13.5">
      <c r="B1683" s="30"/>
      <c r="C1683" s="30"/>
      <c r="D1683" s="31"/>
      <c r="E1683" s="35"/>
      <c r="F1683" s="130"/>
      <c r="G1683" s="14"/>
      <c r="H1683" s="14"/>
      <c r="I1683" s="14"/>
      <c r="J1683" s="14"/>
      <c r="K1683" s="14"/>
      <c r="L1683" s="14"/>
      <c r="M1683" s="14"/>
    </row>
    <row r="1684" spans="2:13" s="7" customFormat="1" ht="13.5">
      <c r="B1684" s="30"/>
      <c r="C1684" s="30"/>
      <c r="D1684" s="31"/>
      <c r="E1684" s="35"/>
      <c r="F1684" s="130"/>
      <c r="G1684" s="14"/>
      <c r="H1684" s="14"/>
      <c r="I1684" s="14"/>
      <c r="J1684" s="14"/>
      <c r="K1684" s="14"/>
      <c r="L1684" s="14"/>
      <c r="M1684" s="14"/>
    </row>
    <row r="1685" spans="2:13" s="7" customFormat="1" ht="13.5">
      <c r="B1685" s="30"/>
      <c r="C1685" s="30"/>
      <c r="D1685" s="31"/>
      <c r="E1685" s="35"/>
      <c r="F1685" s="130"/>
      <c r="G1685" s="14"/>
      <c r="H1685" s="14"/>
      <c r="I1685" s="14"/>
      <c r="J1685" s="14"/>
      <c r="K1685" s="14"/>
      <c r="L1685" s="14"/>
      <c r="M1685" s="14"/>
    </row>
    <row r="1686" spans="2:13" s="7" customFormat="1" ht="13.5">
      <c r="B1686" s="30"/>
      <c r="C1686" s="30"/>
      <c r="D1686" s="31"/>
      <c r="E1686" s="35"/>
      <c r="F1686" s="130"/>
      <c r="G1686" s="14"/>
      <c r="H1686" s="14"/>
      <c r="I1686" s="14"/>
      <c r="J1686" s="14"/>
      <c r="K1686" s="14"/>
      <c r="L1686" s="14"/>
      <c r="M1686" s="14"/>
    </row>
    <row r="1687" spans="2:13" s="7" customFormat="1" ht="13.5">
      <c r="B1687" s="30"/>
      <c r="C1687" s="30"/>
      <c r="D1687" s="31"/>
      <c r="E1687" s="35"/>
      <c r="F1687" s="130"/>
      <c r="G1687" s="14"/>
      <c r="H1687" s="14"/>
      <c r="I1687" s="14"/>
      <c r="J1687" s="14"/>
      <c r="K1687" s="14"/>
      <c r="L1687" s="14"/>
      <c r="M1687" s="14"/>
    </row>
    <row r="1688" spans="2:13" s="7" customFormat="1" ht="13.5">
      <c r="B1688" s="30"/>
      <c r="C1688" s="30"/>
      <c r="D1688" s="31"/>
      <c r="E1688" s="35"/>
      <c r="F1688" s="130"/>
      <c r="G1688" s="14"/>
      <c r="H1688" s="14"/>
      <c r="I1688" s="14"/>
      <c r="J1688" s="14"/>
      <c r="K1688" s="14"/>
      <c r="L1688" s="14"/>
      <c r="M1688" s="14"/>
    </row>
    <row r="1689" spans="2:13" s="7" customFormat="1" ht="13.5">
      <c r="B1689" s="30"/>
      <c r="C1689" s="30"/>
      <c r="D1689" s="31"/>
      <c r="E1689" s="35"/>
      <c r="F1689" s="130"/>
      <c r="G1689" s="14"/>
      <c r="H1689" s="14"/>
      <c r="I1689" s="14"/>
      <c r="J1689" s="14"/>
      <c r="K1689" s="14"/>
      <c r="L1689" s="14"/>
      <c r="M1689" s="14"/>
    </row>
    <row r="1690" spans="2:13" s="7" customFormat="1" ht="13.5">
      <c r="B1690" s="30"/>
      <c r="C1690" s="30"/>
      <c r="D1690" s="31"/>
      <c r="E1690" s="35"/>
      <c r="F1690" s="130"/>
      <c r="G1690" s="14"/>
      <c r="H1690" s="14"/>
      <c r="I1690" s="14"/>
      <c r="J1690" s="14"/>
      <c r="K1690" s="14"/>
      <c r="L1690" s="14"/>
      <c r="M1690" s="14"/>
    </row>
    <row r="1691" spans="2:13" s="7" customFormat="1" ht="13.5">
      <c r="B1691" s="30"/>
      <c r="C1691" s="30"/>
      <c r="D1691" s="31"/>
      <c r="E1691" s="35"/>
      <c r="F1691" s="130"/>
      <c r="G1691" s="14"/>
      <c r="H1691" s="14"/>
      <c r="I1691" s="14"/>
      <c r="J1691" s="14"/>
      <c r="K1691" s="14"/>
      <c r="L1691" s="14"/>
      <c r="M1691" s="14"/>
    </row>
    <row r="1692" spans="2:13" s="7" customFormat="1" ht="13.5">
      <c r="B1692" s="30"/>
      <c r="C1692" s="30"/>
      <c r="D1692" s="31"/>
      <c r="E1692" s="35"/>
      <c r="F1692" s="130"/>
      <c r="G1692" s="14"/>
      <c r="H1692" s="14"/>
      <c r="I1692" s="14"/>
      <c r="J1692" s="14"/>
      <c r="K1692" s="14"/>
      <c r="L1692" s="14"/>
      <c r="M1692" s="14"/>
    </row>
    <row r="1693" spans="2:13" s="7" customFormat="1" ht="13.5">
      <c r="B1693" s="30"/>
      <c r="C1693" s="30"/>
      <c r="D1693" s="31"/>
      <c r="E1693" s="35"/>
      <c r="F1693" s="130"/>
      <c r="G1693" s="14"/>
      <c r="H1693" s="14"/>
      <c r="I1693" s="14"/>
      <c r="J1693" s="14"/>
      <c r="K1693" s="14"/>
      <c r="L1693" s="14"/>
      <c r="M1693" s="14"/>
    </row>
    <row r="1694" spans="2:13" s="7" customFormat="1" ht="13.5">
      <c r="B1694" s="30"/>
      <c r="C1694" s="30"/>
      <c r="D1694" s="31"/>
      <c r="E1694" s="35"/>
      <c r="F1694" s="130"/>
      <c r="G1694" s="14"/>
      <c r="H1694" s="14"/>
      <c r="I1694" s="14"/>
      <c r="J1694" s="14"/>
      <c r="K1694" s="14"/>
      <c r="L1694" s="14"/>
      <c r="M1694" s="14"/>
    </row>
    <row r="1695" spans="2:13" s="7" customFormat="1" ht="13.5">
      <c r="B1695" s="30"/>
      <c r="C1695" s="30"/>
      <c r="D1695" s="31"/>
      <c r="E1695" s="35"/>
      <c r="F1695" s="130"/>
      <c r="G1695" s="14"/>
      <c r="H1695" s="14"/>
      <c r="I1695" s="14"/>
      <c r="J1695" s="14"/>
      <c r="K1695" s="14"/>
      <c r="L1695" s="14"/>
      <c r="M1695" s="14"/>
    </row>
    <row r="1696" spans="2:13" s="7" customFormat="1" ht="13.5">
      <c r="B1696" s="30"/>
      <c r="C1696" s="30"/>
      <c r="D1696" s="31"/>
      <c r="E1696" s="35"/>
      <c r="F1696" s="130"/>
      <c r="G1696" s="14"/>
      <c r="H1696" s="14"/>
      <c r="I1696" s="14"/>
      <c r="J1696" s="14"/>
      <c r="K1696" s="14"/>
      <c r="L1696" s="14"/>
      <c r="M1696" s="14"/>
    </row>
    <row r="1697" spans="2:13" s="7" customFormat="1" ht="13.5">
      <c r="B1697" s="30"/>
      <c r="C1697" s="30"/>
      <c r="D1697" s="31"/>
      <c r="E1697" s="35"/>
      <c r="F1697" s="130"/>
      <c r="G1697" s="14"/>
      <c r="H1697" s="14"/>
      <c r="I1697" s="14"/>
      <c r="J1697" s="14"/>
      <c r="K1697" s="14"/>
      <c r="L1697" s="14"/>
      <c r="M1697" s="14"/>
    </row>
    <row r="1698" spans="2:13" s="7" customFormat="1" ht="13.5">
      <c r="B1698" s="30"/>
      <c r="C1698" s="30"/>
      <c r="D1698" s="31"/>
      <c r="E1698" s="35"/>
      <c r="F1698" s="130"/>
      <c r="G1698" s="14"/>
      <c r="H1698" s="14"/>
      <c r="I1698" s="14"/>
      <c r="J1698" s="14"/>
      <c r="K1698" s="14"/>
      <c r="L1698" s="14"/>
      <c r="M1698" s="14"/>
    </row>
    <row r="1699" spans="2:13" s="7" customFormat="1" ht="13.5">
      <c r="B1699" s="30"/>
      <c r="C1699" s="30"/>
      <c r="D1699" s="31"/>
      <c r="E1699" s="35"/>
      <c r="F1699" s="130"/>
      <c r="G1699" s="14"/>
      <c r="H1699" s="14"/>
      <c r="I1699" s="14"/>
      <c r="J1699" s="14"/>
      <c r="K1699" s="14"/>
      <c r="L1699" s="14"/>
      <c r="M1699" s="14"/>
    </row>
    <row r="1700" spans="2:13" s="7" customFormat="1" ht="13.5">
      <c r="B1700" s="30"/>
      <c r="C1700" s="30"/>
      <c r="D1700" s="31"/>
      <c r="E1700" s="35"/>
      <c r="F1700" s="130"/>
      <c r="G1700" s="14"/>
      <c r="H1700" s="14"/>
      <c r="I1700" s="14"/>
      <c r="J1700" s="14"/>
      <c r="K1700" s="14"/>
      <c r="L1700" s="14"/>
      <c r="M1700" s="14"/>
    </row>
    <row r="1701" spans="2:13" s="7" customFormat="1" ht="13.5">
      <c r="B1701" s="30"/>
      <c r="C1701" s="30"/>
      <c r="D1701" s="31"/>
      <c r="E1701" s="35"/>
      <c r="F1701" s="130"/>
      <c r="G1701" s="14"/>
      <c r="H1701" s="14"/>
      <c r="I1701" s="14"/>
      <c r="J1701" s="14"/>
      <c r="K1701" s="14"/>
      <c r="L1701" s="14"/>
      <c r="M1701" s="14"/>
    </row>
    <row r="1702" spans="2:13" s="7" customFormat="1" ht="13.5">
      <c r="B1702" s="30"/>
      <c r="C1702" s="30"/>
      <c r="D1702" s="31"/>
      <c r="E1702" s="35"/>
      <c r="F1702" s="130"/>
      <c r="G1702" s="14"/>
      <c r="H1702" s="14"/>
      <c r="I1702" s="14"/>
      <c r="J1702" s="14"/>
      <c r="K1702" s="14"/>
      <c r="L1702" s="14"/>
      <c r="M1702" s="14"/>
    </row>
    <row r="1703" spans="2:13" s="7" customFormat="1" ht="13.5">
      <c r="B1703" s="30"/>
      <c r="C1703" s="30"/>
      <c r="D1703" s="31"/>
      <c r="E1703" s="35"/>
      <c r="F1703" s="130"/>
      <c r="G1703" s="14"/>
      <c r="H1703" s="14"/>
      <c r="I1703" s="14"/>
      <c r="J1703" s="14"/>
      <c r="K1703" s="14"/>
      <c r="L1703" s="14"/>
      <c r="M1703" s="14"/>
    </row>
    <row r="1704" spans="2:13" s="7" customFormat="1" ht="13.5">
      <c r="B1704" s="30"/>
      <c r="C1704" s="30"/>
      <c r="D1704" s="31"/>
      <c r="E1704" s="35"/>
      <c r="F1704" s="130"/>
      <c r="G1704" s="14"/>
      <c r="H1704" s="14"/>
      <c r="I1704" s="14"/>
      <c r="J1704" s="14"/>
      <c r="K1704" s="14"/>
      <c r="L1704" s="14"/>
      <c r="M1704" s="14"/>
    </row>
    <row r="1705" spans="2:13" s="7" customFormat="1" ht="13.5">
      <c r="B1705" s="30"/>
      <c r="C1705" s="30"/>
      <c r="D1705" s="31"/>
      <c r="E1705" s="35"/>
      <c r="F1705" s="130"/>
      <c r="G1705" s="14"/>
      <c r="H1705" s="14"/>
      <c r="I1705" s="14"/>
      <c r="J1705" s="14"/>
      <c r="K1705" s="14"/>
      <c r="L1705" s="14"/>
      <c r="M1705" s="14"/>
    </row>
    <row r="1706" spans="2:13" s="7" customFormat="1" ht="13.5">
      <c r="B1706" s="30"/>
      <c r="C1706" s="30"/>
      <c r="D1706" s="31"/>
      <c r="E1706" s="35"/>
      <c r="F1706" s="130"/>
      <c r="G1706" s="14"/>
      <c r="H1706" s="14"/>
      <c r="I1706" s="14"/>
      <c r="J1706" s="14"/>
      <c r="K1706" s="14"/>
      <c r="L1706" s="14"/>
      <c r="M1706" s="14"/>
    </row>
    <row r="1707" spans="2:13" s="7" customFormat="1" ht="13.5">
      <c r="B1707" s="30"/>
      <c r="C1707" s="30"/>
      <c r="D1707" s="31"/>
      <c r="E1707" s="35"/>
      <c r="F1707" s="130"/>
      <c r="G1707" s="14"/>
      <c r="H1707" s="14"/>
      <c r="I1707" s="14"/>
      <c r="J1707" s="14"/>
      <c r="K1707" s="14"/>
      <c r="L1707" s="14"/>
      <c r="M1707" s="14"/>
    </row>
    <row r="1708" spans="2:13" s="7" customFormat="1" ht="13.5">
      <c r="B1708" s="30"/>
      <c r="C1708" s="30"/>
      <c r="D1708" s="31"/>
      <c r="E1708" s="35"/>
      <c r="F1708" s="130"/>
      <c r="G1708" s="14"/>
      <c r="H1708" s="14"/>
      <c r="I1708" s="14"/>
      <c r="J1708" s="14"/>
      <c r="K1708" s="14"/>
      <c r="L1708" s="14"/>
      <c r="M1708" s="14"/>
    </row>
    <row r="1709" spans="2:13" s="7" customFormat="1" ht="13.5">
      <c r="B1709" s="30"/>
      <c r="C1709" s="30"/>
      <c r="D1709" s="31"/>
      <c r="E1709" s="35"/>
      <c r="F1709" s="130"/>
      <c r="G1709" s="14"/>
      <c r="H1709" s="14"/>
      <c r="I1709" s="14"/>
      <c r="J1709" s="14"/>
      <c r="K1709" s="14"/>
      <c r="L1709" s="14"/>
      <c r="M1709" s="14"/>
    </row>
    <row r="1710" spans="2:13" s="7" customFormat="1" ht="13.5">
      <c r="B1710" s="30"/>
      <c r="C1710" s="30"/>
      <c r="D1710" s="31"/>
      <c r="E1710" s="35"/>
      <c r="F1710" s="130"/>
      <c r="G1710" s="14"/>
      <c r="H1710" s="14"/>
      <c r="I1710" s="14"/>
      <c r="J1710" s="14"/>
      <c r="K1710" s="14"/>
      <c r="L1710" s="14"/>
      <c r="M1710" s="14"/>
    </row>
    <row r="1711" spans="2:13" s="7" customFormat="1" ht="13.5">
      <c r="B1711" s="30"/>
      <c r="C1711" s="30"/>
      <c r="D1711" s="31"/>
      <c r="E1711" s="35"/>
      <c r="F1711" s="130"/>
      <c r="G1711" s="14"/>
      <c r="H1711" s="14"/>
      <c r="I1711" s="14"/>
      <c r="J1711" s="14"/>
      <c r="K1711" s="14"/>
      <c r="L1711" s="14"/>
      <c r="M1711" s="14"/>
    </row>
    <row r="1712" spans="2:13" s="7" customFormat="1" ht="13.5">
      <c r="B1712" s="30"/>
      <c r="C1712" s="30"/>
      <c r="D1712" s="31"/>
      <c r="E1712" s="35"/>
      <c r="F1712" s="130"/>
      <c r="G1712" s="14"/>
      <c r="H1712" s="14"/>
      <c r="I1712" s="14"/>
      <c r="J1712" s="14"/>
      <c r="K1712" s="14"/>
      <c r="L1712" s="14"/>
      <c r="M1712" s="14"/>
    </row>
    <row r="1713" spans="2:13" s="7" customFormat="1" ht="13.5">
      <c r="B1713" s="30"/>
      <c r="C1713" s="30"/>
      <c r="D1713" s="31"/>
      <c r="E1713" s="35"/>
      <c r="F1713" s="130"/>
      <c r="G1713" s="14"/>
      <c r="H1713" s="14"/>
      <c r="I1713" s="14"/>
      <c r="J1713" s="14"/>
      <c r="K1713" s="14"/>
      <c r="L1713" s="14"/>
      <c r="M1713" s="14"/>
    </row>
    <row r="1714" spans="2:13" s="7" customFormat="1" ht="13.5">
      <c r="B1714" s="30"/>
      <c r="C1714" s="30"/>
      <c r="D1714" s="31"/>
      <c r="E1714" s="35"/>
      <c r="F1714" s="130"/>
      <c r="G1714" s="14"/>
      <c r="H1714" s="14"/>
      <c r="I1714" s="14"/>
      <c r="J1714" s="14"/>
      <c r="K1714" s="14"/>
      <c r="L1714" s="14"/>
      <c r="M1714" s="14"/>
    </row>
    <row r="1715" spans="2:13" s="7" customFormat="1" ht="13.5">
      <c r="B1715" s="30"/>
      <c r="C1715" s="30"/>
      <c r="D1715" s="31"/>
      <c r="E1715" s="35"/>
      <c r="F1715" s="130"/>
      <c r="G1715" s="14"/>
      <c r="H1715" s="14"/>
      <c r="I1715" s="14"/>
      <c r="J1715" s="14"/>
      <c r="K1715" s="14"/>
      <c r="L1715" s="14"/>
      <c r="M1715" s="14"/>
    </row>
    <row r="1716" spans="2:13" s="7" customFormat="1" ht="13.5">
      <c r="B1716" s="30"/>
      <c r="C1716" s="30"/>
      <c r="D1716" s="31"/>
      <c r="E1716" s="35"/>
      <c r="F1716" s="130"/>
      <c r="G1716" s="14"/>
      <c r="H1716" s="14"/>
      <c r="I1716" s="14"/>
      <c r="J1716" s="14"/>
      <c r="K1716" s="14"/>
      <c r="L1716" s="14"/>
      <c r="M1716" s="14"/>
    </row>
    <row r="1717" spans="2:13" s="7" customFormat="1" ht="13.5">
      <c r="B1717" s="30"/>
      <c r="C1717" s="30"/>
      <c r="D1717" s="31"/>
      <c r="E1717" s="35"/>
      <c r="F1717" s="130"/>
      <c r="G1717" s="14"/>
      <c r="H1717" s="14"/>
      <c r="I1717" s="14"/>
      <c r="J1717" s="14"/>
      <c r="K1717" s="14"/>
      <c r="L1717" s="14"/>
      <c r="M1717" s="14"/>
    </row>
    <row r="1718" spans="2:13" s="7" customFormat="1" ht="13.5">
      <c r="B1718" s="30"/>
      <c r="C1718" s="30"/>
      <c r="D1718" s="31"/>
      <c r="E1718" s="35"/>
      <c r="F1718" s="130"/>
      <c r="G1718" s="14"/>
      <c r="H1718" s="14"/>
      <c r="I1718" s="14"/>
      <c r="J1718" s="14"/>
      <c r="K1718" s="14"/>
      <c r="L1718" s="14"/>
      <c r="M1718" s="14"/>
    </row>
    <row r="1719" spans="2:13" s="7" customFormat="1" ht="13.5">
      <c r="B1719" s="30"/>
      <c r="C1719" s="30"/>
      <c r="D1719" s="31"/>
      <c r="E1719" s="35"/>
      <c r="F1719" s="130"/>
      <c r="G1719" s="14"/>
      <c r="H1719" s="14"/>
      <c r="I1719" s="14"/>
      <c r="J1719" s="14"/>
      <c r="K1719" s="14"/>
      <c r="L1719" s="14"/>
      <c r="M1719" s="14"/>
    </row>
    <row r="1720" spans="2:13" s="7" customFormat="1" ht="13.5">
      <c r="B1720" s="30"/>
      <c r="C1720" s="30"/>
      <c r="D1720" s="31"/>
      <c r="E1720" s="35"/>
      <c r="F1720" s="130"/>
      <c r="G1720" s="14"/>
      <c r="H1720" s="14"/>
      <c r="I1720" s="14"/>
      <c r="J1720" s="14"/>
      <c r="K1720" s="14"/>
      <c r="L1720" s="14"/>
      <c r="M1720" s="14"/>
    </row>
    <row r="1721" spans="2:13" s="7" customFormat="1" ht="13.5">
      <c r="B1721" s="30"/>
      <c r="C1721" s="30"/>
      <c r="D1721" s="31"/>
      <c r="E1721" s="35"/>
      <c r="F1721" s="130"/>
      <c r="G1721" s="14"/>
      <c r="H1721" s="14"/>
      <c r="I1721" s="14"/>
      <c r="J1721" s="14"/>
      <c r="K1721" s="14"/>
      <c r="L1721" s="14"/>
      <c r="M1721" s="14"/>
    </row>
    <row r="1722" spans="2:13" s="7" customFormat="1" ht="13.5">
      <c r="B1722" s="30"/>
      <c r="C1722" s="30"/>
      <c r="D1722" s="31"/>
      <c r="E1722" s="35"/>
      <c r="F1722" s="130"/>
      <c r="G1722" s="14"/>
      <c r="H1722" s="14"/>
      <c r="I1722" s="14"/>
      <c r="J1722" s="14"/>
      <c r="K1722" s="14"/>
      <c r="L1722" s="14"/>
      <c r="M1722" s="14"/>
    </row>
    <row r="1723" spans="2:13" s="7" customFormat="1" ht="13.5">
      <c r="B1723" s="30"/>
      <c r="C1723" s="30"/>
      <c r="D1723" s="31"/>
      <c r="E1723" s="35"/>
      <c r="F1723" s="130"/>
      <c r="G1723" s="14"/>
      <c r="H1723" s="14"/>
      <c r="I1723" s="14"/>
      <c r="J1723" s="14"/>
      <c r="K1723" s="14"/>
      <c r="L1723" s="14"/>
      <c r="M1723" s="14"/>
    </row>
    <row r="1724" spans="2:13" s="7" customFormat="1" ht="13.5">
      <c r="B1724" s="30"/>
      <c r="C1724" s="30"/>
      <c r="D1724" s="31"/>
      <c r="E1724" s="35"/>
      <c r="F1724" s="130"/>
      <c r="G1724" s="14"/>
      <c r="H1724" s="14"/>
      <c r="I1724" s="14"/>
      <c r="J1724" s="14"/>
      <c r="K1724" s="14"/>
      <c r="L1724" s="14"/>
      <c r="M1724" s="14"/>
    </row>
    <row r="1725" spans="2:13" s="7" customFormat="1" ht="13.5">
      <c r="B1725" s="30"/>
      <c r="C1725" s="30"/>
      <c r="D1725" s="31"/>
      <c r="E1725" s="35"/>
      <c r="F1725" s="130"/>
      <c r="G1725" s="14"/>
      <c r="H1725" s="14"/>
      <c r="I1725" s="14"/>
      <c r="J1725" s="14"/>
      <c r="K1725" s="14"/>
      <c r="L1725" s="14"/>
      <c r="M1725" s="14"/>
    </row>
    <row r="1726" spans="2:13" s="7" customFormat="1" ht="13.5">
      <c r="B1726" s="30"/>
      <c r="C1726" s="30"/>
      <c r="D1726" s="31"/>
      <c r="E1726" s="35"/>
      <c r="F1726" s="130"/>
      <c r="G1726" s="14"/>
      <c r="H1726" s="14"/>
      <c r="I1726" s="14"/>
      <c r="J1726" s="14"/>
      <c r="K1726" s="14"/>
      <c r="L1726" s="14"/>
      <c r="M1726" s="14"/>
    </row>
    <row r="1727" spans="2:13" s="7" customFormat="1" ht="13.5">
      <c r="B1727" s="30"/>
      <c r="C1727" s="30"/>
      <c r="D1727" s="31"/>
      <c r="E1727" s="35"/>
      <c r="F1727" s="130"/>
      <c r="G1727" s="14"/>
      <c r="H1727" s="14"/>
      <c r="I1727" s="14"/>
      <c r="J1727" s="14"/>
      <c r="K1727" s="14"/>
      <c r="L1727" s="14"/>
      <c r="M1727" s="14"/>
    </row>
    <row r="1728" spans="2:13" s="7" customFormat="1" ht="13.5">
      <c r="B1728" s="30"/>
      <c r="C1728" s="30"/>
      <c r="D1728" s="31"/>
      <c r="E1728" s="35"/>
      <c r="F1728" s="130"/>
      <c r="G1728" s="14"/>
      <c r="H1728" s="14"/>
      <c r="I1728" s="14"/>
      <c r="J1728" s="14"/>
      <c r="K1728" s="14"/>
      <c r="L1728" s="14"/>
      <c r="M1728" s="14"/>
    </row>
    <row r="1729" spans="2:13" s="7" customFormat="1" ht="13.5">
      <c r="B1729" s="30"/>
      <c r="C1729" s="30"/>
      <c r="D1729" s="31"/>
      <c r="E1729" s="35"/>
      <c r="F1729" s="130"/>
      <c r="G1729" s="14"/>
      <c r="H1729" s="14"/>
      <c r="I1729" s="14"/>
      <c r="J1729" s="14"/>
      <c r="K1729" s="14"/>
      <c r="L1729" s="14"/>
      <c r="M1729" s="14"/>
    </row>
    <row r="1730" spans="2:13" s="7" customFormat="1" ht="13.5">
      <c r="B1730" s="30"/>
      <c r="C1730" s="30"/>
      <c r="D1730" s="31"/>
      <c r="E1730" s="35"/>
      <c r="F1730" s="130"/>
      <c r="G1730" s="14"/>
      <c r="H1730" s="14"/>
      <c r="I1730" s="14"/>
      <c r="J1730" s="14"/>
      <c r="K1730" s="14"/>
      <c r="L1730" s="14"/>
      <c r="M1730" s="14"/>
    </row>
    <row r="1731" spans="2:13" s="7" customFormat="1" ht="13.5">
      <c r="B1731" s="30"/>
      <c r="C1731" s="30"/>
      <c r="D1731" s="31"/>
      <c r="E1731" s="35"/>
      <c r="F1731" s="130"/>
      <c r="G1731" s="14"/>
      <c r="H1731" s="14"/>
      <c r="I1731" s="14"/>
      <c r="J1731" s="14"/>
      <c r="K1731" s="14"/>
      <c r="L1731" s="14"/>
      <c r="M1731" s="14"/>
    </row>
    <row r="1732" spans="2:13" s="7" customFormat="1" ht="13.5">
      <c r="B1732" s="30"/>
      <c r="C1732" s="30"/>
      <c r="D1732" s="31"/>
      <c r="E1732" s="35"/>
      <c r="F1732" s="130"/>
      <c r="G1732" s="14"/>
      <c r="H1732" s="14"/>
      <c r="I1732" s="14"/>
      <c r="J1732" s="14"/>
      <c r="K1732" s="14"/>
      <c r="L1732" s="14"/>
      <c r="M1732" s="14"/>
    </row>
    <row r="1733" spans="2:13" s="7" customFormat="1" ht="13.5">
      <c r="B1733" s="30"/>
      <c r="C1733" s="30"/>
      <c r="D1733" s="31"/>
      <c r="E1733" s="35"/>
      <c r="F1733" s="130"/>
      <c r="G1733" s="14"/>
      <c r="H1733" s="14"/>
      <c r="I1733" s="14"/>
      <c r="J1733" s="14"/>
      <c r="K1733" s="14"/>
      <c r="L1733" s="14"/>
      <c r="M1733" s="14"/>
    </row>
    <row r="1734" spans="2:13" s="7" customFormat="1" ht="13.5">
      <c r="B1734" s="30"/>
      <c r="C1734" s="30"/>
      <c r="D1734" s="31"/>
      <c r="E1734" s="35"/>
      <c r="F1734" s="130"/>
      <c r="G1734" s="14"/>
      <c r="H1734" s="14"/>
      <c r="I1734" s="14"/>
      <c r="J1734" s="14"/>
      <c r="K1734" s="14"/>
      <c r="L1734" s="14"/>
      <c r="M1734" s="14"/>
    </row>
    <row r="1735" spans="2:13" s="7" customFormat="1" ht="13.5">
      <c r="B1735" s="30"/>
      <c r="C1735" s="30"/>
      <c r="D1735" s="31"/>
      <c r="E1735" s="35"/>
      <c r="F1735" s="130"/>
      <c r="G1735" s="14"/>
      <c r="H1735" s="14"/>
      <c r="I1735" s="14"/>
      <c r="J1735" s="14"/>
      <c r="K1735" s="14"/>
      <c r="L1735" s="14"/>
      <c r="M1735" s="14"/>
    </row>
    <row r="1736" spans="2:13" s="7" customFormat="1" ht="13.5">
      <c r="B1736" s="30"/>
      <c r="C1736" s="30"/>
      <c r="D1736" s="31"/>
      <c r="E1736" s="35"/>
      <c r="F1736" s="130"/>
      <c r="G1736" s="14"/>
      <c r="H1736" s="14"/>
      <c r="I1736" s="14"/>
      <c r="J1736" s="14"/>
      <c r="K1736" s="14"/>
      <c r="L1736" s="14"/>
      <c r="M1736" s="14"/>
    </row>
    <row r="1737" spans="2:13" s="7" customFormat="1" ht="13.5">
      <c r="B1737" s="30"/>
      <c r="C1737" s="30"/>
      <c r="D1737" s="31"/>
      <c r="E1737" s="35"/>
      <c r="F1737" s="130"/>
      <c r="G1737" s="14"/>
      <c r="H1737" s="14"/>
      <c r="I1737" s="14"/>
      <c r="J1737" s="14"/>
      <c r="K1737" s="14"/>
      <c r="L1737" s="14"/>
      <c r="M1737" s="14"/>
    </row>
    <row r="1738" spans="2:13" s="7" customFormat="1" ht="13.5">
      <c r="B1738" s="30"/>
      <c r="C1738" s="30"/>
      <c r="D1738" s="31"/>
      <c r="E1738" s="35"/>
      <c r="F1738" s="130"/>
      <c r="G1738" s="14"/>
      <c r="H1738" s="14"/>
      <c r="I1738" s="14"/>
      <c r="J1738" s="14"/>
      <c r="K1738" s="14"/>
      <c r="L1738" s="14"/>
      <c r="M1738" s="14"/>
    </row>
    <row r="1739" spans="2:13" s="7" customFormat="1" ht="13.5">
      <c r="B1739" s="30"/>
      <c r="C1739" s="30"/>
      <c r="D1739" s="31"/>
      <c r="E1739" s="35"/>
      <c r="F1739" s="130"/>
      <c r="G1739" s="14"/>
      <c r="H1739" s="14"/>
      <c r="I1739" s="14"/>
      <c r="J1739" s="14"/>
      <c r="K1739" s="14"/>
      <c r="L1739" s="14"/>
      <c r="M1739" s="14"/>
    </row>
    <row r="1740" spans="2:13" s="7" customFormat="1" ht="13.5">
      <c r="B1740" s="30"/>
      <c r="C1740" s="30"/>
      <c r="D1740" s="31"/>
      <c r="E1740" s="35"/>
      <c r="F1740" s="130"/>
      <c r="G1740" s="14"/>
      <c r="H1740" s="14"/>
      <c r="I1740" s="14"/>
      <c r="J1740" s="14"/>
      <c r="K1740" s="14"/>
      <c r="L1740" s="14"/>
      <c r="M1740" s="14"/>
    </row>
    <row r="1741" spans="2:13" s="7" customFormat="1" ht="13.5">
      <c r="B1741" s="30"/>
      <c r="C1741" s="30"/>
      <c r="D1741" s="31"/>
      <c r="E1741" s="35"/>
      <c r="F1741" s="130"/>
      <c r="G1741" s="14"/>
      <c r="H1741" s="14"/>
      <c r="I1741" s="14"/>
      <c r="J1741" s="14"/>
      <c r="K1741" s="14"/>
      <c r="L1741" s="14"/>
      <c r="M1741" s="14"/>
    </row>
    <row r="1742" spans="2:13" s="7" customFormat="1" ht="13.5">
      <c r="B1742" s="30"/>
      <c r="C1742" s="30"/>
      <c r="D1742" s="31"/>
      <c r="E1742" s="35"/>
      <c r="F1742" s="130"/>
      <c r="G1742" s="14"/>
      <c r="H1742" s="14"/>
      <c r="I1742" s="14"/>
      <c r="J1742" s="14"/>
      <c r="K1742" s="14"/>
      <c r="L1742" s="14"/>
      <c r="M1742" s="14"/>
    </row>
    <row r="1743" spans="2:13" s="7" customFormat="1" ht="13.5">
      <c r="B1743" s="30"/>
      <c r="C1743" s="30"/>
      <c r="D1743" s="31"/>
      <c r="E1743" s="35"/>
      <c r="F1743" s="130"/>
      <c r="G1743" s="14"/>
      <c r="H1743" s="14"/>
      <c r="I1743" s="14"/>
      <c r="J1743" s="14"/>
      <c r="K1743" s="14"/>
      <c r="L1743" s="14"/>
      <c r="M1743" s="14"/>
    </row>
    <row r="1744" spans="2:13" s="7" customFormat="1" ht="13.5">
      <c r="B1744" s="30"/>
      <c r="C1744" s="30"/>
      <c r="D1744" s="31"/>
      <c r="E1744" s="35"/>
      <c r="F1744" s="130"/>
      <c r="G1744" s="14"/>
      <c r="H1744" s="14"/>
      <c r="I1744" s="14"/>
      <c r="J1744" s="14"/>
      <c r="K1744" s="14"/>
      <c r="L1744" s="14"/>
      <c r="M1744" s="14"/>
    </row>
    <row r="1745" spans="2:13" s="7" customFormat="1" ht="13.5">
      <c r="B1745" s="30"/>
      <c r="C1745" s="30"/>
      <c r="D1745" s="31"/>
      <c r="E1745" s="35"/>
      <c r="F1745" s="130"/>
      <c r="G1745" s="14"/>
      <c r="H1745" s="14"/>
      <c r="I1745" s="14"/>
      <c r="J1745" s="14"/>
      <c r="K1745" s="14"/>
      <c r="L1745" s="14"/>
      <c r="M1745" s="14"/>
    </row>
    <row r="1746" spans="2:13" s="7" customFormat="1" ht="13.5">
      <c r="B1746" s="30"/>
      <c r="C1746" s="30"/>
      <c r="D1746" s="31"/>
      <c r="E1746" s="35"/>
      <c r="F1746" s="130"/>
      <c r="G1746" s="14"/>
      <c r="H1746" s="14"/>
      <c r="I1746" s="14"/>
      <c r="J1746" s="14"/>
      <c r="K1746" s="14"/>
      <c r="L1746" s="14"/>
      <c r="M1746" s="14"/>
    </row>
    <row r="1747" spans="2:13" s="7" customFormat="1" ht="13.5">
      <c r="B1747" s="30"/>
      <c r="C1747" s="30"/>
      <c r="D1747" s="31"/>
      <c r="E1747" s="35"/>
      <c r="F1747" s="130"/>
      <c r="G1747" s="14"/>
      <c r="H1747" s="14"/>
      <c r="I1747" s="14"/>
      <c r="J1747" s="14"/>
      <c r="K1747" s="14"/>
      <c r="L1747" s="14"/>
      <c r="M1747" s="14"/>
    </row>
    <row r="1748" spans="2:13" s="7" customFormat="1" ht="13.5">
      <c r="B1748" s="30"/>
      <c r="C1748" s="30"/>
      <c r="D1748" s="31"/>
      <c r="E1748" s="35"/>
      <c r="F1748" s="130"/>
      <c r="G1748" s="14"/>
      <c r="H1748" s="14"/>
      <c r="I1748" s="14"/>
      <c r="J1748" s="14"/>
      <c r="K1748" s="14"/>
      <c r="L1748" s="14"/>
      <c r="M1748" s="14"/>
    </row>
    <row r="1749" spans="2:13" s="7" customFormat="1" ht="13.5">
      <c r="B1749" s="30"/>
      <c r="C1749" s="30"/>
      <c r="D1749" s="31"/>
      <c r="E1749" s="35"/>
      <c r="F1749" s="130"/>
      <c r="G1749" s="14"/>
      <c r="H1749" s="14"/>
      <c r="I1749" s="14"/>
      <c r="J1749" s="14"/>
      <c r="K1749" s="14"/>
      <c r="L1749" s="14"/>
      <c r="M1749" s="14"/>
    </row>
    <row r="1750" spans="2:13" s="7" customFormat="1" ht="13.5">
      <c r="B1750" s="30"/>
      <c r="C1750" s="30"/>
      <c r="D1750" s="31"/>
      <c r="E1750" s="35"/>
      <c r="F1750" s="130"/>
      <c r="G1750" s="14"/>
      <c r="H1750" s="14"/>
      <c r="I1750" s="14"/>
      <c r="J1750" s="14"/>
      <c r="K1750" s="14"/>
      <c r="L1750" s="14"/>
      <c r="M1750" s="14"/>
    </row>
    <row r="1751" spans="2:13" s="7" customFormat="1" ht="13.5">
      <c r="B1751" s="30"/>
      <c r="C1751" s="30"/>
      <c r="D1751" s="31"/>
      <c r="E1751" s="35"/>
      <c r="F1751" s="130"/>
      <c r="G1751" s="14"/>
      <c r="H1751" s="14"/>
      <c r="I1751" s="14"/>
      <c r="J1751" s="14"/>
      <c r="K1751" s="14"/>
      <c r="L1751" s="14"/>
      <c r="M1751" s="14"/>
    </row>
    <row r="1752" spans="2:13" s="7" customFormat="1" ht="13.5">
      <c r="B1752" s="30"/>
      <c r="C1752" s="30"/>
      <c r="D1752" s="31"/>
      <c r="E1752" s="35"/>
      <c r="F1752" s="130"/>
      <c r="G1752" s="14"/>
      <c r="H1752" s="14"/>
      <c r="I1752" s="14"/>
      <c r="J1752" s="14"/>
      <c r="K1752" s="14"/>
      <c r="L1752" s="14"/>
      <c r="M1752" s="14"/>
    </row>
    <row r="1753" spans="2:13" s="7" customFormat="1" ht="13.5">
      <c r="B1753" s="30"/>
      <c r="C1753" s="30"/>
      <c r="D1753" s="31"/>
      <c r="E1753" s="35"/>
      <c r="F1753" s="130"/>
      <c r="G1753" s="14"/>
      <c r="H1753" s="14"/>
      <c r="I1753" s="14"/>
      <c r="J1753" s="14"/>
      <c r="K1753" s="14"/>
      <c r="L1753" s="14"/>
      <c r="M1753" s="14"/>
    </row>
    <row r="1754" spans="2:13" s="7" customFormat="1" ht="13.5">
      <c r="B1754" s="30"/>
      <c r="C1754" s="30"/>
      <c r="D1754" s="31"/>
      <c r="E1754" s="35"/>
      <c r="F1754" s="130"/>
      <c r="G1754" s="14"/>
      <c r="H1754" s="14"/>
      <c r="I1754" s="14"/>
      <c r="J1754" s="14"/>
      <c r="K1754" s="14"/>
      <c r="L1754" s="14"/>
      <c r="M1754" s="14"/>
    </row>
    <row r="1755" spans="2:13" s="7" customFormat="1" ht="13.5">
      <c r="B1755" s="30"/>
      <c r="C1755" s="30"/>
      <c r="D1755" s="31"/>
      <c r="E1755" s="35"/>
      <c r="F1755" s="130"/>
      <c r="G1755" s="14"/>
      <c r="H1755" s="14"/>
      <c r="I1755" s="14"/>
      <c r="J1755" s="14"/>
      <c r="K1755" s="14"/>
      <c r="L1755" s="14"/>
      <c r="M1755" s="14"/>
    </row>
    <row r="1756" spans="2:13" s="7" customFormat="1" ht="13.5">
      <c r="B1756" s="30"/>
      <c r="C1756" s="30"/>
      <c r="D1756" s="31"/>
      <c r="E1756" s="35"/>
      <c r="F1756" s="130"/>
      <c r="G1756" s="14"/>
      <c r="H1756" s="14"/>
      <c r="I1756" s="14"/>
      <c r="J1756" s="14"/>
      <c r="K1756" s="14"/>
      <c r="L1756" s="14"/>
      <c r="M1756" s="14"/>
    </row>
    <row r="1757" spans="2:13" s="7" customFormat="1" ht="13.5">
      <c r="B1757" s="30"/>
      <c r="C1757" s="30"/>
      <c r="D1757" s="31"/>
      <c r="E1757" s="35"/>
      <c r="F1757" s="130"/>
      <c r="G1757" s="14"/>
      <c r="H1757" s="14"/>
      <c r="I1757" s="14"/>
      <c r="J1757" s="14"/>
      <c r="K1757" s="14"/>
      <c r="L1757" s="14"/>
      <c r="M1757" s="14"/>
    </row>
    <row r="1758" spans="2:13" s="7" customFormat="1" ht="13.5">
      <c r="B1758" s="30"/>
      <c r="C1758" s="30"/>
      <c r="D1758" s="31"/>
      <c r="E1758" s="35"/>
      <c r="F1758" s="130"/>
      <c r="G1758" s="14"/>
      <c r="H1758" s="14"/>
      <c r="I1758" s="14"/>
      <c r="J1758" s="14"/>
      <c r="K1758" s="14"/>
      <c r="L1758" s="14"/>
      <c r="M1758" s="14"/>
    </row>
    <row r="1759" spans="2:13" s="7" customFormat="1" ht="13.5">
      <c r="B1759" s="30"/>
      <c r="C1759" s="30"/>
      <c r="D1759" s="31"/>
      <c r="E1759" s="35"/>
      <c r="F1759" s="130"/>
      <c r="G1759" s="14"/>
      <c r="H1759" s="14"/>
      <c r="I1759" s="14"/>
      <c r="J1759" s="14"/>
      <c r="K1759" s="14"/>
      <c r="L1759" s="14"/>
      <c r="M1759" s="14"/>
    </row>
    <row r="1760" spans="2:13" s="7" customFormat="1" ht="13.5">
      <c r="B1760" s="30"/>
      <c r="C1760" s="30"/>
      <c r="D1760" s="31"/>
      <c r="E1760" s="35"/>
      <c r="F1760" s="130"/>
      <c r="G1760" s="14"/>
      <c r="H1760" s="14"/>
      <c r="I1760" s="14"/>
      <c r="J1760" s="14"/>
      <c r="K1760" s="14"/>
      <c r="L1760" s="14"/>
      <c r="M1760" s="14"/>
    </row>
    <row r="1761" spans="2:13" s="7" customFormat="1" ht="13.5">
      <c r="B1761" s="30"/>
      <c r="C1761" s="30"/>
      <c r="D1761" s="31"/>
      <c r="E1761" s="35"/>
      <c r="F1761" s="130"/>
      <c r="G1761" s="14"/>
      <c r="H1761" s="14"/>
      <c r="I1761" s="14"/>
      <c r="J1761" s="14"/>
      <c r="K1761" s="14"/>
      <c r="L1761" s="14"/>
      <c r="M1761" s="14"/>
    </row>
    <row r="1762" spans="2:13" s="7" customFormat="1" ht="13.5">
      <c r="B1762" s="30"/>
      <c r="C1762" s="30"/>
      <c r="D1762" s="31"/>
      <c r="E1762" s="35"/>
      <c r="F1762" s="130"/>
      <c r="G1762" s="14"/>
      <c r="H1762" s="14"/>
      <c r="I1762" s="14"/>
      <c r="J1762" s="14"/>
      <c r="K1762" s="14"/>
      <c r="L1762" s="14"/>
      <c r="M1762" s="14"/>
    </row>
    <row r="1763" spans="2:13" s="7" customFormat="1" ht="13.5">
      <c r="B1763" s="30"/>
      <c r="C1763" s="30"/>
      <c r="D1763" s="31"/>
      <c r="E1763" s="35"/>
      <c r="F1763" s="130"/>
      <c r="G1763" s="14"/>
      <c r="H1763" s="14"/>
      <c r="I1763" s="14"/>
      <c r="J1763" s="14"/>
      <c r="K1763" s="14"/>
      <c r="L1763" s="14"/>
      <c r="M1763" s="14"/>
    </row>
    <row r="1764" spans="2:13" s="7" customFormat="1" ht="13.5">
      <c r="B1764" s="30"/>
      <c r="C1764" s="30"/>
      <c r="D1764" s="31"/>
      <c r="E1764" s="35"/>
      <c r="F1764" s="130"/>
      <c r="G1764" s="14"/>
      <c r="H1764" s="14"/>
      <c r="I1764" s="14"/>
      <c r="J1764" s="14"/>
      <c r="K1764" s="14"/>
      <c r="L1764" s="14"/>
      <c r="M1764" s="14"/>
    </row>
    <row r="1765" spans="2:13" s="7" customFormat="1" ht="13.5">
      <c r="B1765" s="30"/>
      <c r="C1765" s="30"/>
      <c r="D1765" s="31"/>
      <c r="E1765" s="35"/>
      <c r="F1765" s="130"/>
      <c r="G1765" s="14"/>
      <c r="H1765" s="14"/>
      <c r="I1765" s="14"/>
      <c r="J1765" s="14"/>
      <c r="K1765" s="14"/>
      <c r="L1765" s="14"/>
      <c r="M1765" s="14"/>
    </row>
    <row r="1766" spans="2:13" s="7" customFormat="1" ht="13.5">
      <c r="B1766" s="30"/>
      <c r="C1766" s="30"/>
      <c r="D1766" s="31"/>
      <c r="E1766" s="35"/>
      <c r="F1766" s="130"/>
      <c r="G1766" s="14"/>
      <c r="H1766" s="14"/>
      <c r="I1766" s="14"/>
      <c r="J1766" s="14"/>
      <c r="K1766" s="14"/>
      <c r="L1766" s="14"/>
      <c r="M1766" s="14"/>
    </row>
    <row r="1767" spans="2:13" s="7" customFormat="1" ht="13.5">
      <c r="B1767" s="30"/>
      <c r="C1767" s="30"/>
      <c r="D1767" s="31"/>
      <c r="E1767" s="35"/>
      <c r="F1767" s="130"/>
      <c r="G1767" s="14"/>
      <c r="H1767" s="14"/>
      <c r="I1767" s="14"/>
      <c r="J1767" s="14"/>
      <c r="K1767" s="14"/>
      <c r="L1767" s="14"/>
      <c r="M1767" s="14"/>
    </row>
    <row r="1768" spans="2:13" s="7" customFormat="1" ht="13.5">
      <c r="B1768" s="30"/>
      <c r="C1768" s="30"/>
      <c r="D1768" s="31"/>
      <c r="E1768" s="35"/>
      <c r="F1768" s="130"/>
      <c r="G1768" s="14"/>
      <c r="H1768" s="14"/>
      <c r="I1768" s="14"/>
      <c r="J1768" s="14"/>
      <c r="K1768" s="14"/>
      <c r="L1768" s="14"/>
      <c r="M1768" s="14"/>
    </row>
    <row r="1769" spans="2:13" s="7" customFormat="1" ht="13.5">
      <c r="B1769" s="30"/>
      <c r="C1769" s="30"/>
      <c r="D1769" s="31"/>
      <c r="E1769" s="35"/>
      <c r="F1769" s="130"/>
      <c r="G1769" s="14"/>
      <c r="H1769" s="14"/>
      <c r="I1769" s="14"/>
      <c r="J1769" s="14"/>
      <c r="K1769" s="14"/>
      <c r="L1769" s="14"/>
      <c r="M1769" s="14"/>
    </row>
    <row r="1770" spans="2:13" s="7" customFormat="1" ht="13.5">
      <c r="B1770" s="30"/>
      <c r="C1770" s="30"/>
      <c r="D1770" s="31"/>
      <c r="E1770" s="35"/>
      <c r="F1770" s="130"/>
      <c r="G1770" s="14"/>
      <c r="H1770" s="14"/>
      <c r="I1770" s="14"/>
      <c r="J1770" s="14"/>
      <c r="K1770" s="14"/>
      <c r="L1770" s="14"/>
      <c r="M1770" s="14"/>
    </row>
    <row r="1771" spans="2:13" s="7" customFormat="1" ht="13.5">
      <c r="B1771" s="30"/>
      <c r="C1771" s="30"/>
      <c r="D1771" s="31"/>
      <c r="E1771" s="35"/>
      <c r="F1771" s="130"/>
      <c r="G1771" s="14"/>
      <c r="H1771" s="14"/>
      <c r="I1771" s="14"/>
      <c r="J1771" s="14"/>
      <c r="K1771" s="14"/>
      <c r="L1771" s="14"/>
      <c r="M1771" s="14"/>
    </row>
    <row r="1772" spans="2:13" s="7" customFormat="1" ht="13.5">
      <c r="B1772" s="30"/>
      <c r="C1772" s="30"/>
      <c r="D1772" s="31"/>
      <c r="E1772" s="35"/>
      <c r="F1772" s="130"/>
      <c r="G1772" s="14"/>
      <c r="H1772" s="14"/>
      <c r="I1772" s="14"/>
      <c r="J1772" s="14"/>
      <c r="K1772" s="14"/>
      <c r="L1772" s="14"/>
      <c r="M1772" s="14"/>
    </row>
    <row r="1773" spans="2:13" s="7" customFormat="1" ht="13.5">
      <c r="B1773" s="30"/>
      <c r="C1773" s="30"/>
      <c r="D1773" s="31"/>
      <c r="E1773" s="35"/>
      <c r="F1773" s="130"/>
      <c r="G1773" s="14"/>
      <c r="H1773" s="14"/>
      <c r="I1773" s="14"/>
      <c r="J1773" s="14"/>
      <c r="K1773" s="14"/>
      <c r="L1773" s="14"/>
      <c r="M1773" s="14"/>
    </row>
    <row r="1774" spans="2:13" s="7" customFormat="1" ht="13.5">
      <c r="B1774" s="30"/>
      <c r="C1774" s="30"/>
      <c r="D1774" s="31"/>
      <c r="E1774" s="35"/>
      <c r="F1774" s="130"/>
      <c r="G1774" s="14"/>
      <c r="H1774" s="14"/>
      <c r="I1774" s="14"/>
      <c r="J1774" s="14"/>
      <c r="K1774" s="14"/>
      <c r="L1774" s="14"/>
      <c r="M1774" s="14"/>
    </row>
    <row r="1775" spans="2:13" s="7" customFormat="1" ht="13.5">
      <c r="B1775" s="30"/>
      <c r="C1775" s="30"/>
      <c r="D1775" s="31"/>
      <c r="E1775" s="35"/>
      <c r="F1775" s="130"/>
      <c r="G1775" s="14"/>
      <c r="H1775" s="14"/>
      <c r="I1775" s="14"/>
      <c r="J1775" s="14"/>
      <c r="K1775" s="14"/>
      <c r="L1775" s="14"/>
      <c r="M1775" s="14"/>
    </row>
    <row r="1776" spans="2:13" s="7" customFormat="1" ht="13.5">
      <c r="B1776" s="30"/>
      <c r="C1776" s="30"/>
      <c r="D1776" s="31"/>
      <c r="E1776" s="35"/>
      <c r="F1776" s="130"/>
      <c r="G1776" s="14"/>
      <c r="H1776" s="14"/>
      <c r="I1776" s="14"/>
      <c r="J1776" s="14"/>
      <c r="K1776" s="14"/>
      <c r="L1776" s="14"/>
      <c r="M1776" s="14"/>
    </row>
    <row r="1777" spans="2:13" s="7" customFormat="1" ht="13.5">
      <c r="B1777" s="30"/>
      <c r="C1777" s="30"/>
      <c r="D1777" s="31"/>
      <c r="E1777" s="35"/>
      <c r="F1777" s="130"/>
      <c r="G1777" s="14"/>
      <c r="H1777" s="14"/>
      <c r="I1777" s="14"/>
      <c r="J1777" s="14"/>
      <c r="K1777" s="14"/>
      <c r="L1777" s="14"/>
      <c r="M1777" s="14"/>
    </row>
    <row r="1778" spans="2:13" s="7" customFormat="1" ht="13.5">
      <c r="B1778" s="30"/>
      <c r="C1778" s="30"/>
      <c r="D1778" s="31"/>
      <c r="E1778" s="35"/>
      <c r="F1778" s="130"/>
      <c r="G1778" s="14"/>
      <c r="H1778" s="14"/>
      <c r="I1778" s="14"/>
      <c r="J1778" s="14"/>
      <c r="K1778" s="14"/>
      <c r="L1778" s="14"/>
      <c r="M1778" s="14"/>
    </row>
    <row r="1779" spans="2:13" s="7" customFormat="1" ht="13.5">
      <c r="B1779" s="30"/>
      <c r="C1779" s="30"/>
      <c r="D1779" s="31"/>
      <c r="E1779" s="35"/>
      <c r="F1779" s="130"/>
      <c r="G1779" s="14"/>
      <c r="H1779" s="14"/>
      <c r="I1779" s="14"/>
      <c r="J1779" s="14"/>
      <c r="K1779" s="14"/>
      <c r="L1779" s="14"/>
      <c r="M1779" s="14"/>
    </row>
    <row r="1780" spans="2:13" s="7" customFormat="1" ht="13.5">
      <c r="B1780" s="30"/>
      <c r="C1780" s="30"/>
      <c r="D1780" s="31"/>
      <c r="E1780" s="35"/>
      <c r="F1780" s="130"/>
      <c r="G1780" s="14"/>
      <c r="H1780" s="14"/>
      <c r="I1780" s="14"/>
      <c r="J1780" s="14"/>
      <c r="K1780" s="14"/>
      <c r="L1780" s="14"/>
      <c r="M1780" s="14"/>
    </row>
    <row r="1781" spans="2:13" s="7" customFormat="1" ht="13.5">
      <c r="B1781" s="30"/>
      <c r="C1781" s="30"/>
      <c r="D1781" s="31"/>
      <c r="E1781" s="35"/>
      <c r="F1781" s="130"/>
      <c r="G1781" s="14"/>
      <c r="H1781" s="14"/>
      <c r="I1781" s="14"/>
      <c r="J1781" s="14"/>
      <c r="K1781" s="14"/>
      <c r="L1781" s="14"/>
      <c r="M1781" s="14"/>
    </row>
    <row r="1782" spans="2:13" s="7" customFormat="1" ht="13.5">
      <c r="B1782" s="30"/>
      <c r="C1782" s="30"/>
      <c r="D1782" s="31"/>
      <c r="E1782" s="35"/>
      <c r="F1782" s="130"/>
      <c r="G1782" s="14"/>
      <c r="H1782" s="14"/>
      <c r="I1782" s="14"/>
      <c r="J1782" s="14"/>
      <c r="K1782" s="14"/>
      <c r="L1782" s="14"/>
      <c r="M1782" s="14"/>
    </row>
    <row r="1783" spans="2:13" s="7" customFormat="1" ht="13.5">
      <c r="B1783" s="30"/>
      <c r="C1783" s="30"/>
      <c r="D1783" s="31"/>
      <c r="E1783" s="35"/>
      <c r="F1783" s="130"/>
      <c r="G1783" s="14"/>
      <c r="H1783" s="14"/>
      <c r="I1783" s="14"/>
      <c r="J1783" s="14"/>
      <c r="K1783" s="14"/>
      <c r="L1783" s="14"/>
      <c r="M1783" s="14"/>
    </row>
    <row r="1784" spans="2:13" s="7" customFormat="1" ht="13.5">
      <c r="B1784" s="30"/>
      <c r="C1784" s="30"/>
      <c r="D1784" s="31"/>
      <c r="E1784" s="35"/>
      <c r="F1784" s="130"/>
      <c r="G1784" s="14"/>
      <c r="H1784" s="14"/>
      <c r="I1784" s="14"/>
      <c r="J1784" s="14"/>
      <c r="K1784" s="14"/>
      <c r="L1784" s="14"/>
      <c r="M1784" s="14"/>
    </row>
    <row r="1785" spans="2:13" s="7" customFormat="1" ht="13.5">
      <c r="B1785" s="30"/>
      <c r="C1785" s="30"/>
      <c r="D1785" s="31"/>
      <c r="E1785" s="35"/>
      <c r="F1785" s="130"/>
      <c r="G1785" s="14"/>
      <c r="H1785" s="14"/>
      <c r="I1785" s="14"/>
      <c r="J1785" s="14"/>
      <c r="K1785" s="14"/>
      <c r="L1785" s="14"/>
      <c r="M1785" s="14"/>
    </row>
    <row r="1786" spans="2:13" s="7" customFormat="1" ht="13.5">
      <c r="B1786" s="30"/>
      <c r="C1786" s="30"/>
      <c r="D1786" s="31"/>
      <c r="E1786" s="35"/>
      <c r="F1786" s="130"/>
      <c r="G1786" s="14"/>
      <c r="H1786" s="14"/>
      <c r="I1786" s="14"/>
      <c r="J1786" s="14"/>
      <c r="K1786" s="14"/>
      <c r="L1786" s="14"/>
      <c r="M1786" s="14"/>
    </row>
    <row r="1787" spans="2:13" s="7" customFormat="1" ht="13.5">
      <c r="B1787" s="30"/>
      <c r="C1787" s="30"/>
      <c r="D1787" s="31"/>
      <c r="E1787" s="35"/>
      <c r="F1787" s="130"/>
      <c r="G1787" s="14"/>
      <c r="H1787" s="14"/>
      <c r="I1787" s="14"/>
      <c r="J1787" s="14"/>
      <c r="K1787" s="14"/>
      <c r="L1787" s="14"/>
      <c r="M1787" s="14"/>
    </row>
    <row r="1788" spans="2:13" s="7" customFormat="1" ht="13.5">
      <c r="B1788" s="30"/>
      <c r="C1788" s="30"/>
      <c r="D1788" s="31"/>
      <c r="E1788" s="35"/>
      <c r="F1788" s="130"/>
      <c r="G1788" s="14"/>
      <c r="H1788" s="14"/>
      <c r="I1788" s="14"/>
      <c r="J1788" s="14"/>
      <c r="K1788" s="14"/>
      <c r="L1788" s="14"/>
      <c r="M1788" s="14"/>
    </row>
    <row r="1789" spans="2:13" s="7" customFormat="1" ht="13.5">
      <c r="B1789" s="30"/>
      <c r="C1789" s="30"/>
      <c r="D1789" s="31"/>
      <c r="E1789" s="35"/>
      <c r="F1789" s="130"/>
      <c r="G1789" s="14"/>
      <c r="H1789" s="14"/>
      <c r="I1789" s="14"/>
      <c r="J1789" s="14"/>
      <c r="K1789" s="14"/>
      <c r="L1789" s="14"/>
      <c r="M1789" s="14"/>
    </row>
    <row r="1790" spans="2:13" s="7" customFormat="1" ht="13.5">
      <c r="B1790" s="30"/>
      <c r="C1790" s="30"/>
      <c r="D1790" s="31"/>
      <c r="E1790" s="35"/>
      <c r="F1790" s="130"/>
      <c r="G1790" s="14"/>
      <c r="H1790" s="14"/>
      <c r="I1790" s="14"/>
      <c r="J1790" s="14"/>
      <c r="K1790" s="14"/>
      <c r="L1790" s="14"/>
      <c r="M1790" s="14"/>
    </row>
    <row r="1791" spans="2:13" s="7" customFormat="1" ht="13.5">
      <c r="B1791" s="30"/>
      <c r="C1791" s="30"/>
      <c r="D1791" s="31"/>
      <c r="E1791" s="35"/>
      <c r="F1791" s="130"/>
      <c r="G1791" s="14"/>
      <c r="H1791" s="14"/>
      <c r="I1791" s="14"/>
      <c r="J1791" s="14"/>
      <c r="K1791" s="14"/>
      <c r="L1791" s="14"/>
      <c r="M1791" s="14"/>
    </row>
    <row r="1792" spans="2:13" s="7" customFormat="1" ht="13.5">
      <c r="B1792" s="30"/>
      <c r="C1792" s="30"/>
      <c r="D1792" s="31"/>
      <c r="E1792" s="35"/>
      <c r="F1792" s="130"/>
      <c r="G1792" s="14"/>
      <c r="H1792" s="14"/>
      <c r="I1792" s="14"/>
      <c r="J1792" s="14"/>
      <c r="K1792" s="14"/>
      <c r="L1792" s="14"/>
      <c r="M1792" s="14"/>
    </row>
    <row r="1793" spans="2:13" s="7" customFormat="1" ht="13.5">
      <c r="B1793" s="30"/>
      <c r="C1793" s="30"/>
      <c r="D1793" s="31"/>
      <c r="E1793" s="35"/>
      <c r="F1793" s="130"/>
      <c r="G1793" s="14"/>
      <c r="H1793" s="14"/>
      <c r="I1793" s="14"/>
      <c r="J1793" s="14"/>
      <c r="K1793" s="14"/>
      <c r="L1793" s="14"/>
      <c r="M1793" s="14"/>
    </row>
    <row r="1794" spans="2:13" s="7" customFormat="1" ht="13.5">
      <c r="B1794" s="30"/>
      <c r="C1794" s="30"/>
      <c r="D1794" s="31"/>
      <c r="E1794" s="35"/>
      <c r="F1794" s="130"/>
      <c r="G1794" s="14"/>
      <c r="H1794" s="14"/>
      <c r="I1794" s="14"/>
      <c r="J1794" s="14"/>
      <c r="K1794" s="14"/>
      <c r="L1794" s="14"/>
      <c r="M1794" s="14"/>
    </row>
    <row r="1795" spans="2:13" s="7" customFormat="1" ht="13.5">
      <c r="B1795" s="30"/>
      <c r="C1795" s="30"/>
      <c r="D1795" s="31"/>
      <c r="E1795" s="35"/>
      <c r="F1795" s="130"/>
      <c r="G1795" s="14"/>
      <c r="H1795" s="14"/>
      <c r="I1795" s="14"/>
      <c r="J1795" s="14"/>
      <c r="K1795" s="14"/>
      <c r="L1795" s="14"/>
      <c r="M1795" s="14"/>
    </row>
    <row r="1796" spans="2:13" s="7" customFormat="1" ht="13.5">
      <c r="B1796" s="30"/>
      <c r="C1796" s="30"/>
      <c r="D1796" s="31"/>
      <c r="E1796" s="35"/>
      <c r="F1796" s="130"/>
      <c r="G1796" s="14"/>
      <c r="H1796" s="14"/>
      <c r="I1796" s="14"/>
      <c r="J1796" s="14"/>
      <c r="K1796" s="14"/>
      <c r="L1796" s="14"/>
      <c r="M1796" s="14"/>
    </row>
    <row r="1797" spans="2:13" s="7" customFormat="1" ht="13.5">
      <c r="B1797" s="30"/>
      <c r="C1797" s="30"/>
      <c r="D1797" s="31"/>
      <c r="E1797" s="35"/>
      <c r="F1797" s="130"/>
      <c r="G1797" s="14"/>
      <c r="H1797" s="14"/>
      <c r="I1797" s="14"/>
      <c r="J1797" s="14"/>
      <c r="K1797" s="14"/>
      <c r="L1797" s="14"/>
      <c r="M1797" s="14"/>
    </row>
    <row r="1798" spans="2:13" s="7" customFormat="1" ht="13.5">
      <c r="B1798" s="30"/>
      <c r="C1798" s="30"/>
      <c r="D1798" s="31"/>
      <c r="E1798" s="35"/>
      <c r="F1798" s="130"/>
      <c r="G1798" s="14"/>
      <c r="H1798" s="14"/>
      <c r="I1798" s="14"/>
      <c r="J1798" s="14"/>
      <c r="K1798" s="14"/>
      <c r="L1798" s="14"/>
      <c r="M1798" s="14"/>
    </row>
    <row r="1799" spans="2:13" s="7" customFormat="1" ht="13.5">
      <c r="B1799" s="30"/>
      <c r="C1799" s="30"/>
      <c r="D1799" s="31"/>
      <c r="E1799" s="35"/>
      <c r="F1799" s="130"/>
      <c r="G1799" s="14"/>
      <c r="H1799" s="14"/>
      <c r="I1799" s="14"/>
      <c r="J1799" s="14"/>
      <c r="K1799" s="14"/>
      <c r="L1799" s="14"/>
      <c r="M1799" s="14"/>
    </row>
    <row r="1800" spans="2:13" s="7" customFormat="1" ht="13.5">
      <c r="B1800" s="30"/>
      <c r="C1800" s="30"/>
      <c r="D1800" s="31"/>
      <c r="E1800" s="35"/>
      <c r="F1800" s="130"/>
      <c r="G1800" s="14"/>
      <c r="H1800" s="14"/>
      <c r="I1800" s="14"/>
      <c r="J1800" s="14"/>
      <c r="K1800" s="14"/>
      <c r="L1800" s="14"/>
      <c r="M1800" s="14"/>
    </row>
    <row r="1801" spans="2:13" s="7" customFormat="1" ht="13.5">
      <c r="B1801" s="30"/>
      <c r="C1801" s="30"/>
      <c r="D1801" s="31"/>
      <c r="E1801" s="35"/>
      <c r="F1801" s="130"/>
      <c r="G1801" s="14"/>
      <c r="H1801" s="14"/>
      <c r="I1801" s="14"/>
      <c r="J1801" s="14"/>
      <c r="K1801" s="14"/>
      <c r="L1801" s="14"/>
      <c r="M1801" s="14"/>
    </row>
    <row r="1802" spans="2:13" s="7" customFormat="1" ht="13.5">
      <c r="B1802" s="30"/>
      <c r="C1802" s="30"/>
      <c r="D1802" s="31"/>
      <c r="E1802" s="35"/>
      <c r="F1802" s="130"/>
      <c r="G1802" s="14"/>
      <c r="H1802" s="14"/>
      <c r="I1802" s="14"/>
      <c r="J1802" s="14"/>
      <c r="K1802" s="14"/>
      <c r="L1802" s="14"/>
      <c r="M1802" s="14"/>
    </row>
    <row r="1803" spans="2:13" s="7" customFormat="1" ht="13.5">
      <c r="B1803" s="30"/>
      <c r="C1803" s="30"/>
      <c r="D1803" s="31"/>
      <c r="E1803" s="35"/>
      <c r="F1803" s="130"/>
      <c r="G1803" s="14"/>
      <c r="H1803" s="14"/>
      <c r="I1803" s="14"/>
      <c r="J1803" s="14"/>
      <c r="K1803" s="14"/>
      <c r="L1803" s="14"/>
      <c r="M1803" s="14"/>
    </row>
    <row r="1804" spans="2:13" s="7" customFormat="1" ht="13.5">
      <c r="B1804" s="30"/>
      <c r="C1804" s="30"/>
      <c r="D1804" s="31"/>
      <c r="E1804" s="35"/>
      <c r="F1804" s="130"/>
      <c r="G1804" s="14"/>
      <c r="H1804" s="14"/>
      <c r="I1804" s="14"/>
      <c r="J1804" s="14"/>
      <c r="K1804" s="14"/>
      <c r="L1804" s="14"/>
      <c r="M1804" s="14"/>
    </row>
    <row r="1805" spans="2:13" s="7" customFormat="1" ht="13.5">
      <c r="B1805" s="30"/>
      <c r="C1805" s="30"/>
      <c r="D1805" s="31"/>
      <c r="E1805" s="35"/>
      <c r="F1805" s="130"/>
      <c r="G1805" s="14"/>
      <c r="H1805" s="14"/>
      <c r="I1805" s="14"/>
      <c r="J1805" s="14"/>
      <c r="K1805" s="14"/>
      <c r="L1805" s="14"/>
      <c r="M1805" s="14"/>
    </row>
    <row r="1806" spans="2:13" s="7" customFormat="1" ht="13.5">
      <c r="B1806" s="30"/>
      <c r="C1806" s="30"/>
      <c r="D1806" s="31"/>
      <c r="E1806" s="35"/>
      <c r="F1806" s="130"/>
      <c r="G1806" s="14"/>
      <c r="H1806" s="14"/>
      <c r="I1806" s="14"/>
      <c r="J1806" s="14"/>
      <c r="K1806" s="14"/>
      <c r="L1806" s="14"/>
      <c r="M1806" s="14"/>
    </row>
    <row r="1807" spans="2:13" s="7" customFormat="1" ht="13.5">
      <c r="B1807" s="30"/>
      <c r="C1807" s="30"/>
      <c r="D1807" s="31"/>
      <c r="E1807" s="35"/>
      <c r="F1807" s="130"/>
      <c r="G1807" s="14"/>
      <c r="H1807" s="14"/>
      <c r="I1807" s="14"/>
      <c r="J1807" s="14"/>
      <c r="K1807" s="14"/>
      <c r="L1807" s="14"/>
      <c r="M1807" s="14"/>
    </row>
    <row r="1808" spans="2:13" s="7" customFormat="1" ht="13.5">
      <c r="B1808" s="30"/>
      <c r="C1808" s="30"/>
      <c r="D1808" s="31"/>
      <c r="E1808" s="35"/>
      <c r="F1808" s="130"/>
      <c r="G1808" s="14"/>
      <c r="H1808" s="14"/>
      <c r="I1808" s="14"/>
      <c r="J1808" s="14"/>
      <c r="K1808" s="14"/>
      <c r="L1808" s="14"/>
      <c r="M1808" s="14"/>
    </row>
    <row r="1809" spans="2:13" s="7" customFormat="1" ht="13.5">
      <c r="B1809" s="30"/>
      <c r="C1809" s="30"/>
      <c r="D1809" s="31"/>
      <c r="E1809" s="35"/>
      <c r="F1809" s="130"/>
      <c r="G1809" s="14"/>
      <c r="H1809" s="14"/>
      <c r="I1809" s="14"/>
      <c r="J1809" s="14"/>
      <c r="K1809" s="14"/>
      <c r="L1809" s="14"/>
      <c r="M1809" s="14"/>
    </row>
    <row r="1810" spans="2:13" s="7" customFormat="1" ht="13.5">
      <c r="B1810" s="30"/>
      <c r="C1810" s="30"/>
      <c r="D1810" s="31"/>
      <c r="E1810" s="35"/>
      <c r="F1810" s="130"/>
      <c r="G1810" s="14"/>
      <c r="H1810" s="14"/>
      <c r="I1810" s="14"/>
      <c r="J1810" s="14"/>
      <c r="K1810" s="14"/>
      <c r="L1810" s="14"/>
      <c r="M1810" s="14"/>
    </row>
    <row r="1811" spans="2:13" s="7" customFormat="1" ht="13.5">
      <c r="B1811" s="30"/>
      <c r="C1811" s="30"/>
      <c r="D1811" s="31"/>
      <c r="E1811" s="35"/>
      <c r="F1811" s="130"/>
      <c r="G1811" s="14"/>
      <c r="H1811" s="14"/>
      <c r="I1811" s="14"/>
      <c r="J1811" s="14"/>
      <c r="K1811" s="14"/>
      <c r="L1811" s="14"/>
      <c r="M1811" s="14"/>
    </row>
    <row r="1812" spans="2:13" s="7" customFormat="1" ht="13.5">
      <c r="B1812" s="30"/>
      <c r="C1812" s="30"/>
      <c r="D1812" s="31"/>
      <c r="E1812" s="35"/>
      <c r="F1812" s="130"/>
      <c r="G1812" s="14"/>
      <c r="H1812" s="14"/>
      <c r="I1812" s="14"/>
      <c r="J1812" s="14"/>
      <c r="K1812" s="14"/>
      <c r="L1812" s="14"/>
      <c r="M1812" s="14"/>
    </row>
    <row r="1813" spans="2:13" s="7" customFormat="1" ht="13.5">
      <c r="B1813" s="30"/>
      <c r="C1813" s="30"/>
      <c r="D1813" s="31"/>
      <c r="E1813" s="35"/>
      <c r="F1813" s="130"/>
      <c r="G1813" s="14"/>
      <c r="H1813" s="14"/>
      <c r="I1813" s="14"/>
      <c r="J1813" s="14"/>
      <c r="K1813" s="14"/>
      <c r="L1813" s="14"/>
      <c r="M1813" s="14"/>
    </row>
    <row r="1814" spans="2:13" s="7" customFormat="1" ht="13.5">
      <c r="B1814" s="30"/>
      <c r="C1814" s="30"/>
      <c r="D1814" s="31"/>
      <c r="E1814" s="35"/>
      <c r="F1814" s="130"/>
      <c r="G1814" s="14"/>
      <c r="H1814" s="14"/>
      <c r="I1814" s="14"/>
      <c r="J1814" s="14"/>
      <c r="K1814" s="14"/>
      <c r="L1814" s="14"/>
      <c r="M1814" s="14"/>
    </row>
    <row r="1815" spans="2:13" s="7" customFormat="1" ht="13.5">
      <c r="B1815" s="30"/>
      <c r="C1815" s="30"/>
      <c r="D1815" s="31"/>
      <c r="E1815" s="35"/>
      <c r="F1815" s="130"/>
      <c r="G1815" s="14"/>
      <c r="H1815" s="14"/>
      <c r="I1815" s="14"/>
      <c r="J1815" s="14"/>
      <c r="K1815" s="14"/>
      <c r="L1815" s="14"/>
      <c r="M1815" s="14"/>
    </row>
    <row r="1816" spans="2:13" s="7" customFormat="1" ht="13.5">
      <c r="B1816" s="30"/>
      <c r="C1816" s="30"/>
      <c r="D1816" s="31"/>
      <c r="E1816" s="35"/>
      <c r="F1816" s="130"/>
      <c r="G1816" s="14"/>
      <c r="H1816" s="14"/>
      <c r="I1816" s="14"/>
      <c r="J1816" s="14"/>
      <c r="K1816" s="14"/>
      <c r="L1816" s="14"/>
      <c r="M1816" s="14"/>
    </row>
    <row r="1817" spans="2:13" s="7" customFormat="1" ht="13.5">
      <c r="B1817" s="30"/>
      <c r="C1817" s="30"/>
      <c r="D1817" s="31"/>
      <c r="E1817" s="35"/>
      <c r="F1817" s="130"/>
      <c r="G1817" s="14"/>
      <c r="H1817" s="14"/>
      <c r="I1817" s="14"/>
      <c r="J1817" s="14"/>
      <c r="K1817" s="14"/>
      <c r="L1817" s="14"/>
      <c r="M1817" s="14"/>
    </row>
    <row r="1818" spans="2:13" s="7" customFormat="1" ht="13.5">
      <c r="B1818" s="30"/>
      <c r="C1818" s="30"/>
      <c r="D1818" s="31"/>
      <c r="E1818" s="35"/>
      <c r="F1818" s="130"/>
      <c r="G1818" s="14"/>
      <c r="H1818" s="14"/>
      <c r="I1818" s="14"/>
      <c r="J1818" s="14"/>
      <c r="K1818" s="14"/>
      <c r="L1818" s="14"/>
      <c r="M1818" s="14"/>
    </row>
    <row r="1819" spans="2:13" s="7" customFormat="1" ht="13.5">
      <c r="B1819" s="30"/>
      <c r="C1819" s="30"/>
      <c r="D1819" s="31"/>
      <c r="E1819" s="35"/>
      <c r="F1819" s="130"/>
      <c r="G1819" s="14"/>
      <c r="H1819" s="14"/>
      <c r="I1819" s="14"/>
      <c r="J1819" s="14"/>
      <c r="K1819" s="14"/>
      <c r="L1819" s="14"/>
      <c r="M1819" s="14"/>
    </row>
    <row r="1820" spans="2:13" s="7" customFormat="1" ht="13.5">
      <c r="B1820" s="30"/>
      <c r="C1820" s="30"/>
      <c r="D1820" s="31"/>
      <c r="E1820" s="35"/>
      <c r="F1820" s="130"/>
      <c r="G1820" s="14"/>
      <c r="H1820" s="14"/>
      <c r="I1820" s="14"/>
      <c r="J1820" s="14"/>
      <c r="K1820" s="14"/>
      <c r="L1820" s="14"/>
      <c r="M1820" s="14"/>
    </row>
    <row r="1821" spans="2:13" s="7" customFormat="1" ht="13.5">
      <c r="B1821" s="30"/>
      <c r="C1821" s="30"/>
      <c r="D1821" s="31"/>
      <c r="E1821" s="35"/>
      <c r="F1821" s="130"/>
      <c r="G1821" s="14"/>
      <c r="H1821" s="14"/>
      <c r="I1821" s="14"/>
      <c r="J1821" s="14"/>
      <c r="K1821" s="14"/>
      <c r="L1821" s="14"/>
      <c r="M1821" s="14"/>
    </row>
    <row r="1822" spans="2:13" s="7" customFormat="1" ht="13.5">
      <c r="B1822" s="30"/>
      <c r="C1822" s="30"/>
      <c r="D1822" s="31"/>
      <c r="E1822" s="35"/>
      <c r="F1822" s="130"/>
      <c r="G1822" s="14"/>
      <c r="H1822" s="14"/>
      <c r="I1822" s="14"/>
      <c r="J1822" s="14"/>
      <c r="K1822" s="14"/>
      <c r="L1822" s="14"/>
      <c r="M1822" s="14"/>
    </row>
    <row r="1823" spans="2:13" s="7" customFormat="1" ht="13.5">
      <c r="B1823" s="30"/>
      <c r="C1823" s="30"/>
      <c r="D1823" s="31"/>
      <c r="E1823" s="35"/>
      <c r="F1823" s="130"/>
      <c r="G1823" s="14"/>
      <c r="H1823" s="14"/>
      <c r="I1823" s="14"/>
      <c r="J1823" s="14"/>
      <c r="K1823" s="14"/>
      <c r="L1823" s="14"/>
      <c r="M1823" s="14"/>
    </row>
    <row r="1824" spans="2:13" s="7" customFormat="1" ht="13.5">
      <c r="B1824" s="30"/>
      <c r="C1824" s="30"/>
      <c r="D1824" s="31"/>
      <c r="E1824" s="35"/>
      <c r="F1824" s="130"/>
      <c r="G1824" s="14"/>
      <c r="H1824" s="14"/>
      <c r="I1824" s="14"/>
      <c r="J1824" s="14"/>
      <c r="K1824" s="14"/>
      <c r="L1824" s="14"/>
      <c r="M1824" s="14"/>
    </row>
    <row r="1825" spans="2:13" s="7" customFormat="1" ht="13.5">
      <c r="B1825" s="30"/>
      <c r="C1825" s="30"/>
      <c r="D1825" s="31"/>
      <c r="E1825" s="35"/>
      <c r="F1825" s="130"/>
      <c r="G1825" s="14"/>
      <c r="H1825" s="14"/>
      <c r="I1825" s="14"/>
      <c r="J1825" s="14"/>
      <c r="K1825" s="14"/>
      <c r="L1825" s="14"/>
      <c r="M1825" s="14"/>
    </row>
    <row r="1826" spans="2:13" s="7" customFormat="1" ht="13.5">
      <c r="B1826" s="30"/>
      <c r="C1826" s="30"/>
      <c r="D1826" s="31"/>
      <c r="E1826" s="35"/>
      <c r="F1826" s="130"/>
      <c r="G1826" s="14"/>
      <c r="H1826" s="14"/>
      <c r="I1826" s="14"/>
      <c r="J1826" s="14"/>
      <c r="K1826" s="14"/>
      <c r="L1826" s="14"/>
      <c r="M1826" s="14"/>
    </row>
    <row r="1827" spans="2:13" s="7" customFormat="1" ht="13.5">
      <c r="B1827" s="30"/>
      <c r="C1827" s="30"/>
      <c r="D1827" s="31"/>
      <c r="E1827" s="35"/>
      <c r="F1827" s="130"/>
      <c r="G1827" s="14"/>
      <c r="H1827" s="14"/>
      <c r="I1827" s="14"/>
      <c r="J1827" s="14"/>
      <c r="K1827" s="14"/>
      <c r="L1827" s="14"/>
      <c r="M1827" s="14"/>
    </row>
    <row r="1828" spans="2:13" s="7" customFormat="1" ht="13.5">
      <c r="B1828" s="30"/>
      <c r="C1828" s="30"/>
      <c r="D1828" s="31"/>
      <c r="E1828" s="35"/>
      <c r="F1828" s="130"/>
      <c r="G1828" s="14"/>
      <c r="H1828" s="14"/>
      <c r="I1828" s="14"/>
      <c r="J1828" s="14"/>
      <c r="K1828" s="14"/>
      <c r="L1828" s="14"/>
      <c r="M1828" s="14"/>
    </row>
    <row r="1829" spans="2:13" s="7" customFormat="1" ht="13.5">
      <c r="B1829" s="30"/>
      <c r="C1829" s="30"/>
      <c r="D1829" s="31"/>
      <c r="E1829" s="35"/>
      <c r="F1829" s="130"/>
      <c r="G1829" s="14"/>
      <c r="H1829" s="14"/>
      <c r="I1829" s="14"/>
      <c r="J1829" s="14"/>
      <c r="K1829" s="14"/>
      <c r="L1829" s="14"/>
      <c r="M1829" s="14"/>
    </row>
    <row r="1830" spans="2:13" s="7" customFormat="1" ht="13.5">
      <c r="B1830" s="30"/>
      <c r="C1830" s="30"/>
      <c r="D1830" s="31"/>
      <c r="E1830" s="35"/>
      <c r="F1830" s="130"/>
      <c r="G1830" s="14"/>
      <c r="H1830" s="14"/>
      <c r="I1830" s="14"/>
      <c r="J1830" s="14"/>
      <c r="K1830" s="14"/>
      <c r="L1830" s="14"/>
      <c r="M1830" s="14"/>
    </row>
    <row r="1831" spans="2:13" s="7" customFormat="1" ht="13.5">
      <c r="B1831" s="30"/>
      <c r="C1831" s="30"/>
      <c r="D1831" s="31"/>
      <c r="E1831" s="35"/>
      <c r="F1831" s="130"/>
      <c r="G1831" s="14"/>
      <c r="H1831" s="14"/>
      <c r="I1831" s="14"/>
      <c r="J1831" s="14"/>
      <c r="K1831" s="14"/>
      <c r="L1831" s="14"/>
      <c r="M1831" s="14"/>
    </row>
    <row r="1832" spans="2:13" s="7" customFormat="1" ht="13.5">
      <c r="B1832" s="30"/>
      <c r="C1832" s="30"/>
      <c r="D1832" s="31"/>
      <c r="E1832" s="35"/>
      <c r="F1832" s="130"/>
      <c r="G1832" s="14"/>
      <c r="H1832" s="14"/>
      <c r="I1832" s="14"/>
      <c r="J1832" s="14"/>
      <c r="K1832" s="14"/>
      <c r="L1832" s="14"/>
      <c r="M1832" s="14"/>
    </row>
    <row r="1833" spans="2:13" s="7" customFormat="1" ht="13.5">
      <c r="B1833" s="30"/>
      <c r="C1833" s="30"/>
      <c r="D1833" s="31"/>
      <c r="E1833" s="35"/>
      <c r="F1833" s="130"/>
      <c r="G1833" s="14"/>
      <c r="H1833" s="14"/>
      <c r="I1833" s="14"/>
      <c r="J1833" s="14"/>
      <c r="K1833" s="14"/>
      <c r="L1833" s="14"/>
      <c r="M1833" s="14"/>
    </row>
    <row r="1834" spans="2:13" s="7" customFormat="1" ht="13.5">
      <c r="B1834" s="30"/>
      <c r="C1834" s="30"/>
      <c r="D1834" s="31"/>
      <c r="E1834" s="35"/>
      <c r="F1834" s="130"/>
      <c r="G1834" s="14"/>
      <c r="H1834" s="14"/>
      <c r="I1834" s="14"/>
      <c r="J1834" s="14"/>
      <c r="K1834" s="14"/>
      <c r="L1834" s="14"/>
      <c r="M1834" s="14"/>
    </row>
    <row r="1835" spans="2:13" s="7" customFormat="1" ht="13.5">
      <c r="B1835" s="30"/>
      <c r="C1835" s="30"/>
      <c r="D1835" s="31"/>
      <c r="E1835" s="35"/>
      <c r="F1835" s="130"/>
      <c r="G1835" s="14"/>
      <c r="H1835" s="14"/>
      <c r="I1835" s="14"/>
      <c r="J1835" s="14"/>
      <c r="K1835" s="14"/>
      <c r="L1835" s="14"/>
      <c r="M1835" s="14"/>
    </row>
    <row r="1836" spans="2:13" s="7" customFormat="1" ht="13.5">
      <c r="B1836" s="30"/>
      <c r="C1836" s="30"/>
      <c r="D1836" s="31"/>
      <c r="E1836" s="35"/>
      <c r="F1836" s="130"/>
      <c r="G1836" s="14"/>
      <c r="H1836" s="14"/>
      <c r="I1836" s="14"/>
      <c r="J1836" s="14"/>
      <c r="K1836" s="14"/>
      <c r="L1836" s="14"/>
      <c r="M1836" s="14"/>
    </row>
    <row r="1837" spans="2:13" s="7" customFormat="1" ht="13.5">
      <c r="B1837" s="30"/>
      <c r="C1837" s="30"/>
      <c r="D1837" s="31"/>
      <c r="E1837" s="35"/>
      <c r="F1837" s="130"/>
      <c r="G1837" s="14"/>
      <c r="H1837" s="14"/>
      <c r="I1837" s="14"/>
      <c r="J1837" s="14"/>
      <c r="K1837" s="14"/>
      <c r="L1837" s="14"/>
      <c r="M1837" s="14"/>
    </row>
    <row r="1838" spans="2:13" s="7" customFormat="1" ht="13.5">
      <c r="B1838" s="30"/>
      <c r="C1838" s="30"/>
      <c r="D1838" s="31"/>
      <c r="E1838" s="35"/>
      <c r="F1838" s="130"/>
      <c r="G1838" s="14"/>
      <c r="H1838" s="14"/>
      <c r="I1838" s="14"/>
      <c r="J1838" s="14"/>
      <c r="K1838" s="14"/>
      <c r="L1838" s="14"/>
      <c r="M1838" s="14"/>
    </row>
    <row r="1839" spans="2:13" s="7" customFormat="1" ht="13.5">
      <c r="B1839" s="30"/>
      <c r="C1839" s="30"/>
      <c r="D1839" s="31"/>
      <c r="E1839" s="35"/>
      <c r="F1839" s="130"/>
      <c r="G1839" s="14"/>
      <c r="H1839" s="14"/>
      <c r="I1839" s="14"/>
      <c r="J1839" s="14"/>
      <c r="K1839" s="14"/>
      <c r="L1839" s="14"/>
      <c r="M1839" s="14"/>
    </row>
    <row r="1840" spans="2:13" s="7" customFormat="1" ht="13.5">
      <c r="B1840" s="30"/>
      <c r="C1840" s="30"/>
      <c r="D1840" s="31"/>
      <c r="E1840" s="35"/>
      <c r="F1840" s="130"/>
      <c r="G1840" s="14"/>
      <c r="H1840" s="14"/>
      <c r="I1840" s="14"/>
      <c r="J1840" s="14"/>
      <c r="K1840" s="14"/>
      <c r="L1840" s="14"/>
      <c r="M1840" s="14"/>
    </row>
    <row r="1841" spans="2:13" s="7" customFormat="1" ht="13.5">
      <c r="B1841" s="30"/>
      <c r="C1841" s="30"/>
      <c r="D1841" s="31"/>
      <c r="E1841" s="35"/>
      <c r="F1841" s="130"/>
      <c r="G1841" s="14"/>
      <c r="H1841" s="14"/>
      <c r="I1841" s="14"/>
      <c r="J1841" s="14"/>
      <c r="K1841" s="14"/>
      <c r="L1841" s="14"/>
      <c r="M1841" s="14"/>
    </row>
    <row r="1842" spans="2:13" s="7" customFormat="1" ht="13.5">
      <c r="B1842" s="30"/>
      <c r="C1842" s="30"/>
      <c r="D1842" s="31"/>
      <c r="E1842" s="35"/>
      <c r="F1842" s="130"/>
      <c r="G1842" s="14"/>
      <c r="H1842" s="14"/>
      <c r="I1842" s="14"/>
      <c r="J1842" s="14"/>
      <c r="K1842" s="14"/>
      <c r="L1842" s="14"/>
      <c r="M1842" s="14"/>
    </row>
    <row r="1843" spans="2:13" s="7" customFormat="1" ht="13.5">
      <c r="B1843" s="30"/>
      <c r="C1843" s="30"/>
      <c r="D1843" s="31"/>
      <c r="E1843" s="35"/>
      <c r="F1843" s="130"/>
      <c r="G1843" s="14"/>
      <c r="H1843" s="14"/>
      <c r="I1843" s="14"/>
      <c r="J1843" s="14"/>
      <c r="K1843" s="14"/>
      <c r="L1843" s="14"/>
      <c r="M1843" s="14"/>
    </row>
    <row r="1844" spans="2:13" s="7" customFormat="1" ht="13.5">
      <c r="B1844" s="30"/>
      <c r="C1844" s="30"/>
      <c r="D1844" s="31"/>
      <c r="E1844" s="35"/>
      <c r="F1844" s="130"/>
      <c r="G1844" s="14"/>
      <c r="H1844" s="14"/>
      <c r="I1844" s="14"/>
      <c r="J1844" s="14"/>
      <c r="K1844" s="14"/>
      <c r="L1844" s="14"/>
      <c r="M1844" s="14"/>
    </row>
    <row r="1845" spans="2:13" s="7" customFormat="1" ht="13.5">
      <c r="B1845" s="30"/>
      <c r="C1845" s="30"/>
      <c r="D1845" s="31"/>
      <c r="E1845" s="35"/>
      <c r="F1845" s="130"/>
      <c r="G1845" s="14"/>
      <c r="H1845" s="14"/>
      <c r="I1845" s="14"/>
      <c r="J1845" s="14"/>
      <c r="K1845" s="14"/>
      <c r="L1845" s="14"/>
      <c r="M1845" s="14"/>
    </row>
    <row r="1846" spans="2:13" s="7" customFormat="1" ht="13.5">
      <c r="B1846" s="30"/>
      <c r="C1846" s="30"/>
      <c r="D1846" s="31"/>
      <c r="E1846" s="35"/>
      <c r="F1846" s="130"/>
      <c r="G1846" s="14"/>
      <c r="H1846" s="14"/>
      <c r="I1846" s="14"/>
      <c r="J1846" s="14"/>
      <c r="K1846" s="14"/>
      <c r="L1846" s="14"/>
      <c r="M1846" s="14"/>
    </row>
    <row r="1847" spans="2:13" s="7" customFormat="1" ht="13.5">
      <c r="B1847" s="30"/>
      <c r="C1847" s="30"/>
      <c r="D1847" s="31"/>
      <c r="E1847" s="35"/>
      <c r="F1847" s="130"/>
      <c r="G1847" s="14"/>
      <c r="H1847" s="14"/>
      <c r="I1847" s="14"/>
      <c r="J1847" s="14"/>
      <c r="K1847" s="14"/>
      <c r="L1847" s="14"/>
      <c r="M1847" s="14"/>
    </row>
    <row r="1848" spans="2:13" s="7" customFormat="1" ht="13.5">
      <c r="B1848" s="30"/>
      <c r="C1848" s="30"/>
      <c r="D1848" s="31"/>
      <c r="E1848" s="35"/>
      <c r="F1848" s="130"/>
      <c r="G1848" s="14"/>
      <c r="H1848" s="14"/>
      <c r="I1848" s="14"/>
      <c r="J1848" s="14"/>
      <c r="K1848" s="14"/>
      <c r="L1848" s="14"/>
      <c r="M1848" s="14"/>
    </row>
    <row r="1849" spans="2:13" s="7" customFormat="1" ht="13.5">
      <c r="B1849" s="30"/>
      <c r="C1849" s="30"/>
      <c r="D1849" s="31"/>
      <c r="E1849" s="35"/>
      <c r="F1849" s="130"/>
      <c r="G1849" s="14"/>
      <c r="H1849" s="14"/>
      <c r="I1849" s="14"/>
      <c r="J1849" s="14"/>
      <c r="K1849" s="14"/>
      <c r="L1849" s="14"/>
      <c r="M1849" s="14"/>
    </row>
    <row r="1850" spans="2:13" s="7" customFormat="1" ht="13.5">
      <c r="B1850" s="30"/>
      <c r="C1850" s="30"/>
      <c r="D1850" s="31"/>
      <c r="E1850" s="35"/>
      <c r="F1850" s="130"/>
      <c r="G1850" s="14"/>
      <c r="H1850" s="14"/>
      <c r="I1850" s="14"/>
      <c r="J1850" s="14"/>
      <c r="K1850" s="14"/>
      <c r="L1850" s="14"/>
      <c r="M1850" s="14"/>
    </row>
    <row r="1851" spans="2:13" s="7" customFormat="1" ht="13.5">
      <c r="B1851" s="30"/>
      <c r="C1851" s="30"/>
      <c r="D1851" s="31"/>
      <c r="E1851" s="35"/>
      <c r="F1851" s="130"/>
      <c r="G1851" s="14"/>
      <c r="H1851" s="14"/>
      <c r="I1851" s="14"/>
      <c r="J1851" s="14"/>
      <c r="K1851" s="14"/>
      <c r="L1851" s="14"/>
      <c r="M1851" s="14"/>
    </row>
    <row r="1852" spans="2:13" s="7" customFormat="1" ht="13.5">
      <c r="B1852" s="30"/>
      <c r="C1852" s="30"/>
      <c r="D1852" s="31"/>
      <c r="E1852" s="35"/>
      <c r="F1852" s="130"/>
      <c r="G1852" s="14"/>
      <c r="H1852" s="14"/>
      <c r="I1852" s="14"/>
      <c r="J1852" s="14"/>
      <c r="K1852" s="14"/>
      <c r="L1852" s="14"/>
      <c r="M1852" s="14"/>
    </row>
    <row r="1853" spans="2:13" s="7" customFormat="1" ht="13.5">
      <c r="B1853" s="30"/>
      <c r="C1853" s="30"/>
      <c r="D1853" s="31"/>
      <c r="E1853" s="35"/>
      <c r="F1853" s="130"/>
      <c r="G1853" s="14"/>
      <c r="H1853" s="14"/>
      <c r="I1853" s="14"/>
      <c r="J1853" s="14"/>
      <c r="K1853" s="14"/>
      <c r="L1853" s="14"/>
      <c r="M1853" s="14"/>
    </row>
    <row r="1854" spans="2:13" s="7" customFormat="1" ht="13.5">
      <c r="B1854" s="30"/>
      <c r="C1854" s="30"/>
      <c r="D1854" s="31"/>
      <c r="E1854" s="35"/>
      <c r="F1854" s="130"/>
      <c r="G1854" s="14"/>
      <c r="H1854" s="14"/>
      <c r="I1854" s="14"/>
      <c r="J1854" s="14"/>
      <c r="K1854" s="14"/>
      <c r="L1854" s="14"/>
      <c r="M1854" s="14"/>
    </row>
    <row r="1855" spans="2:13" s="7" customFormat="1" ht="13.5">
      <c r="B1855" s="30"/>
      <c r="C1855" s="30"/>
      <c r="D1855" s="31"/>
      <c r="E1855" s="35"/>
      <c r="F1855" s="130"/>
      <c r="G1855" s="14"/>
      <c r="H1855" s="14"/>
      <c r="I1855" s="14"/>
      <c r="J1855" s="14"/>
      <c r="K1855" s="14"/>
      <c r="L1855" s="14"/>
      <c r="M1855" s="14"/>
    </row>
    <row r="1856" spans="2:13" s="7" customFormat="1" ht="13.5">
      <c r="B1856" s="30"/>
      <c r="C1856" s="30"/>
      <c r="D1856" s="31"/>
      <c r="E1856" s="35"/>
      <c r="F1856" s="130"/>
      <c r="G1856" s="14"/>
      <c r="H1856" s="14"/>
      <c r="I1856" s="14"/>
      <c r="J1856" s="14"/>
      <c r="K1856" s="14"/>
      <c r="L1856" s="14"/>
      <c r="M1856" s="14"/>
    </row>
    <row r="1857" spans="2:13" s="7" customFormat="1" ht="13.5">
      <c r="B1857" s="30"/>
      <c r="C1857" s="30"/>
      <c r="D1857" s="31"/>
      <c r="E1857" s="35"/>
      <c r="F1857" s="130"/>
      <c r="G1857" s="14"/>
      <c r="H1857" s="14"/>
      <c r="I1857" s="14"/>
      <c r="J1857" s="14"/>
      <c r="K1857" s="14"/>
      <c r="L1857" s="14"/>
      <c r="M1857" s="14"/>
    </row>
    <row r="1858" spans="2:13" s="7" customFormat="1" ht="13.5">
      <c r="B1858" s="30"/>
      <c r="C1858" s="30"/>
      <c r="D1858" s="31"/>
      <c r="E1858" s="35"/>
      <c r="F1858" s="130"/>
      <c r="G1858" s="14"/>
      <c r="H1858" s="14"/>
      <c r="I1858" s="14"/>
      <c r="J1858" s="14"/>
      <c r="K1858" s="14"/>
      <c r="L1858" s="14"/>
      <c r="M1858" s="14"/>
    </row>
    <row r="1859" spans="2:13" s="7" customFormat="1" ht="13.5">
      <c r="B1859" s="30"/>
      <c r="C1859" s="30"/>
      <c r="D1859" s="31"/>
      <c r="E1859" s="35"/>
      <c r="F1859" s="130"/>
      <c r="G1859" s="14"/>
      <c r="H1859" s="14"/>
      <c r="I1859" s="14"/>
      <c r="J1859" s="14"/>
      <c r="K1859" s="14"/>
      <c r="L1859" s="14"/>
      <c r="M1859" s="14"/>
    </row>
    <row r="1860" spans="2:13" s="7" customFormat="1" ht="13.5">
      <c r="B1860" s="30"/>
      <c r="C1860" s="30"/>
      <c r="D1860" s="31"/>
      <c r="E1860" s="35"/>
      <c r="F1860" s="130"/>
      <c r="G1860" s="14"/>
      <c r="H1860" s="14"/>
      <c r="I1860" s="14"/>
      <c r="J1860" s="14"/>
      <c r="K1860" s="14"/>
      <c r="L1860" s="14"/>
      <c r="M1860" s="14"/>
    </row>
    <row r="1861" spans="2:13" s="7" customFormat="1" ht="13.5">
      <c r="B1861" s="30"/>
      <c r="C1861" s="30"/>
      <c r="D1861" s="31"/>
      <c r="E1861" s="35"/>
      <c r="F1861" s="130"/>
      <c r="G1861" s="14"/>
      <c r="H1861" s="14"/>
      <c r="I1861" s="14"/>
      <c r="J1861" s="14"/>
      <c r="K1861" s="14"/>
      <c r="L1861" s="14"/>
      <c r="M1861" s="14"/>
    </row>
    <row r="1862" spans="2:13" s="7" customFormat="1" ht="13.5">
      <c r="B1862" s="30"/>
      <c r="C1862" s="30"/>
      <c r="D1862" s="31"/>
      <c r="E1862" s="35"/>
      <c r="F1862" s="130"/>
      <c r="G1862" s="14"/>
      <c r="H1862" s="14"/>
      <c r="I1862" s="14"/>
      <c r="J1862" s="14"/>
      <c r="K1862" s="14"/>
      <c r="L1862" s="14"/>
      <c r="M1862" s="14"/>
    </row>
    <row r="1863" spans="2:13" s="7" customFormat="1" ht="13.5">
      <c r="B1863" s="30"/>
      <c r="C1863" s="30"/>
      <c r="D1863" s="31"/>
      <c r="E1863" s="35"/>
      <c r="F1863" s="130"/>
      <c r="G1863" s="14"/>
      <c r="H1863" s="14"/>
      <c r="I1863" s="14"/>
      <c r="J1863" s="14"/>
      <c r="K1863" s="14"/>
      <c r="L1863" s="14"/>
      <c r="M1863" s="14"/>
    </row>
    <row r="1864" spans="2:13" s="7" customFormat="1" ht="13.5">
      <c r="B1864" s="30"/>
      <c r="C1864" s="30"/>
      <c r="D1864" s="31"/>
      <c r="E1864" s="35"/>
      <c r="F1864" s="130"/>
      <c r="G1864" s="14"/>
      <c r="H1864" s="14"/>
      <c r="I1864" s="14"/>
      <c r="J1864" s="14"/>
      <c r="K1864" s="14"/>
      <c r="L1864" s="14"/>
      <c r="M1864" s="14"/>
    </row>
    <row r="1865" spans="2:13" s="7" customFormat="1" ht="13.5">
      <c r="B1865" s="30"/>
      <c r="C1865" s="30"/>
      <c r="D1865" s="31"/>
      <c r="E1865" s="35"/>
      <c r="F1865" s="130"/>
      <c r="G1865" s="14"/>
      <c r="H1865" s="14"/>
      <c r="I1865" s="14"/>
      <c r="J1865" s="14"/>
      <c r="K1865" s="14"/>
      <c r="L1865" s="14"/>
      <c r="M1865" s="14"/>
    </row>
    <row r="1866" spans="2:13" s="7" customFormat="1" ht="13.5">
      <c r="B1866" s="30"/>
      <c r="C1866" s="30"/>
      <c r="D1866" s="31"/>
      <c r="E1866" s="35"/>
      <c r="F1866" s="130"/>
      <c r="G1866" s="14"/>
      <c r="H1866" s="14"/>
      <c r="I1866" s="14"/>
      <c r="J1866" s="14"/>
      <c r="K1866" s="14"/>
      <c r="L1866" s="14"/>
      <c r="M1866" s="14"/>
    </row>
    <row r="1867" spans="2:13" s="7" customFormat="1" ht="13.5">
      <c r="B1867" s="30"/>
      <c r="C1867" s="30"/>
      <c r="D1867" s="31"/>
      <c r="E1867" s="35"/>
      <c r="F1867" s="130"/>
      <c r="G1867" s="14"/>
      <c r="H1867" s="14"/>
      <c r="I1867" s="14"/>
      <c r="J1867" s="14"/>
      <c r="K1867" s="14"/>
      <c r="L1867" s="14"/>
      <c r="M1867" s="14"/>
    </row>
    <row r="1868" spans="2:13" s="7" customFormat="1" ht="13.5">
      <c r="B1868" s="30"/>
      <c r="C1868" s="30"/>
      <c r="D1868" s="31"/>
      <c r="E1868" s="35"/>
      <c r="F1868" s="130"/>
      <c r="G1868" s="14"/>
      <c r="H1868" s="14"/>
      <c r="I1868" s="14"/>
      <c r="J1868" s="14"/>
      <c r="K1868" s="14"/>
      <c r="L1868" s="14"/>
      <c r="M1868" s="14"/>
    </row>
    <row r="1869" spans="2:13" s="7" customFormat="1" ht="13.5">
      <c r="B1869" s="30"/>
      <c r="C1869" s="30"/>
      <c r="D1869" s="31"/>
      <c r="E1869" s="35"/>
      <c r="F1869" s="130"/>
      <c r="G1869" s="14"/>
      <c r="H1869" s="14"/>
      <c r="I1869" s="14"/>
      <c r="J1869" s="14"/>
      <c r="K1869" s="14"/>
      <c r="L1869" s="14"/>
      <c r="M1869" s="14"/>
    </row>
    <row r="1870" spans="2:13" s="7" customFormat="1" ht="13.5">
      <c r="B1870" s="30"/>
      <c r="C1870" s="30"/>
      <c r="D1870" s="31"/>
      <c r="E1870" s="35"/>
      <c r="F1870" s="130"/>
      <c r="G1870" s="14"/>
      <c r="H1870" s="14"/>
      <c r="I1870" s="14"/>
      <c r="J1870" s="14"/>
      <c r="K1870" s="14"/>
      <c r="L1870" s="14"/>
      <c r="M1870" s="14"/>
    </row>
    <row r="1871" spans="2:13" s="7" customFormat="1" ht="13.5">
      <c r="B1871" s="30"/>
      <c r="C1871" s="30"/>
      <c r="D1871" s="31"/>
      <c r="E1871" s="35"/>
      <c r="F1871" s="130"/>
      <c r="G1871" s="14"/>
      <c r="H1871" s="14"/>
      <c r="I1871" s="14"/>
      <c r="J1871" s="14"/>
      <c r="K1871" s="14"/>
      <c r="L1871" s="14"/>
      <c r="M1871" s="14"/>
    </row>
    <row r="1872" spans="2:13" s="7" customFormat="1" ht="13.5">
      <c r="B1872" s="30"/>
      <c r="C1872" s="30"/>
      <c r="D1872" s="31"/>
      <c r="E1872" s="35"/>
      <c r="F1872" s="130"/>
      <c r="G1872" s="14"/>
      <c r="H1872" s="14"/>
      <c r="I1872" s="14"/>
      <c r="J1872" s="14"/>
      <c r="K1872" s="14"/>
      <c r="L1872" s="14"/>
      <c r="M1872" s="14"/>
    </row>
    <row r="1873" spans="2:13" s="7" customFormat="1" ht="13.5">
      <c r="B1873" s="30"/>
      <c r="C1873" s="30"/>
      <c r="D1873" s="31"/>
      <c r="E1873" s="35"/>
      <c r="F1873" s="130"/>
      <c r="G1873" s="14"/>
      <c r="H1873" s="14"/>
      <c r="I1873" s="14"/>
      <c r="J1873" s="14"/>
      <c r="K1873" s="14"/>
      <c r="L1873" s="14"/>
      <c r="M1873" s="14"/>
    </row>
    <row r="1874" spans="2:13" s="7" customFormat="1" ht="13.5">
      <c r="B1874" s="30"/>
      <c r="C1874" s="30"/>
      <c r="D1874" s="31"/>
      <c r="E1874" s="35"/>
      <c r="F1874" s="130"/>
      <c r="G1874" s="14"/>
      <c r="H1874" s="14"/>
      <c r="I1874" s="14"/>
      <c r="J1874" s="14"/>
      <c r="K1874" s="14"/>
      <c r="L1874" s="14"/>
      <c r="M1874" s="14"/>
    </row>
    <row r="1875" spans="2:13" s="7" customFormat="1" ht="13.5">
      <c r="B1875" s="30"/>
      <c r="C1875" s="30"/>
      <c r="D1875" s="31"/>
      <c r="E1875" s="35"/>
      <c r="F1875" s="130"/>
      <c r="G1875" s="14"/>
      <c r="H1875" s="14"/>
      <c r="I1875" s="14"/>
      <c r="J1875" s="14"/>
      <c r="K1875" s="14"/>
      <c r="L1875" s="14"/>
      <c r="M1875" s="14"/>
    </row>
    <row r="1876" spans="2:13" s="7" customFormat="1" ht="13.5">
      <c r="B1876" s="30"/>
      <c r="C1876" s="30"/>
      <c r="D1876" s="31"/>
      <c r="E1876" s="35"/>
      <c r="F1876" s="130"/>
      <c r="G1876" s="14"/>
      <c r="H1876" s="14"/>
      <c r="I1876" s="14"/>
      <c r="J1876" s="14"/>
      <c r="K1876" s="14"/>
      <c r="L1876" s="14"/>
      <c r="M1876" s="14"/>
    </row>
    <row r="1877" spans="2:13" s="7" customFormat="1" ht="13.5">
      <c r="B1877" s="30"/>
      <c r="C1877" s="30"/>
      <c r="D1877" s="31"/>
      <c r="E1877" s="35"/>
      <c r="F1877" s="130"/>
      <c r="G1877" s="14"/>
      <c r="H1877" s="14"/>
      <c r="I1877" s="14"/>
      <c r="J1877" s="14"/>
      <c r="K1877" s="14"/>
      <c r="L1877" s="14"/>
      <c r="M1877" s="14"/>
    </row>
    <row r="1878" spans="2:13" s="7" customFormat="1" ht="13.5">
      <c r="B1878" s="30"/>
      <c r="C1878" s="30"/>
      <c r="D1878" s="31"/>
      <c r="E1878" s="35"/>
      <c r="F1878" s="130"/>
      <c r="G1878" s="14"/>
      <c r="H1878" s="14"/>
      <c r="I1878" s="14"/>
      <c r="J1878" s="14"/>
      <c r="K1878" s="14"/>
      <c r="L1878" s="14"/>
      <c r="M1878" s="14"/>
    </row>
    <row r="1879" spans="2:13" s="7" customFormat="1" ht="13.5">
      <c r="B1879" s="30"/>
      <c r="C1879" s="30"/>
      <c r="D1879" s="31"/>
      <c r="E1879" s="35"/>
      <c r="F1879" s="130"/>
      <c r="G1879" s="14"/>
      <c r="H1879" s="14"/>
      <c r="I1879" s="14"/>
      <c r="J1879" s="14"/>
      <c r="K1879" s="14"/>
      <c r="L1879" s="14"/>
      <c r="M1879" s="14"/>
    </row>
    <row r="1880" spans="2:13" s="7" customFormat="1" ht="13.5">
      <c r="B1880" s="30"/>
      <c r="C1880" s="30"/>
      <c r="D1880" s="31"/>
      <c r="E1880" s="35"/>
      <c r="F1880" s="130"/>
      <c r="G1880" s="14"/>
      <c r="H1880" s="14"/>
      <c r="I1880" s="14"/>
      <c r="J1880" s="14"/>
      <c r="K1880" s="14"/>
      <c r="L1880" s="14"/>
      <c r="M1880" s="14"/>
    </row>
    <row r="1881" spans="2:13" s="7" customFormat="1" ht="13.5">
      <c r="B1881" s="30"/>
      <c r="C1881" s="30"/>
      <c r="D1881" s="31"/>
      <c r="E1881" s="35"/>
      <c r="F1881" s="130"/>
      <c r="G1881" s="14"/>
      <c r="H1881" s="14"/>
      <c r="I1881" s="14"/>
      <c r="J1881" s="14"/>
      <c r="K1881" s="14"/>
      <c r="L1881" s="14"/>
      <c r="M1881" s="14"/>
    </row>
    <row r="1882" spans="2:13" s="7" customFormat="1" ht="13.5">
      <c r="B1882" s="30"/>
      <c r="C1882" s="30"/>
      <c r="D1882" s="31"/>
      <c r="E1882" s="35"/>
      <c r="F1882" s="130"/>
      <c r="G1882" s="14"/>
      <c r="H1882" s="14"/>
      <c r="I1882" s="14"/>
      <c r="J1882" s="14"/>
      <c r="K1882" s="14"/>
      <c r="L1882" s="14"/>
      <c r="M1882" s="14"/>
    </row>
    <row r="1883" spans="2:13" s="7" customFormat="1" ht="13.5">
      <c r="B1883" s="30"/>
      <c r="C1883" s="30"/>
      <c r="D1883" s="31"/>
      <c r="E1883" s="35"/>
      <c r="F1883" s="130"/>
      <c r="G1883" s="14"/>
      <c r="H1883" s="14"/>
      <c r="I1883" s="14"/>
      <c r="J1883" s="14"/>
      <c r="K1883" s="14"/>
      <c r="L1883" s="14"/>
      <c r="M1883" s="14"/>
    </row>
    <row r="1884" spans="2:13" s="7" customFormat="1" ht="13.5">
      <c r="B1884" s="30"/>
      <c r="C1884" s="30"/>
      <c r="D1884" s="31"/>
      <c r="E1884" s="35"/>
      <c r="F1884" s="130"/>
      <c r="G1884" s="14"/>
      <c r="H1884" s="14"/>
      <c r="I1884" s="14"/>
      <c r="J1884" s="14"/>
      <c r="K1884" s="14"/>
      <c r="L1884" s="14"/>
      <c r="M1884" s="14"/>
    </row>
    <row r="1885" spans="2:13" s="7" customFormat="1" ht="13.5">
      <c r="B1885" s="30"/>
      <c r="C1885" s="30"/>
      <c r="D1885" s="31"/>
      <c r="E1885" s="35"/>
      <c r="F1885" s="130"/>
      <c r="G1885" s="14"/>
      <c r="H1885" s="14"/>
      <c r="I1885" s="14"/>
      <c r="J1885" s="14"/>
      <c r="K1885" s="14"/>
      <c r="L1885" s="14"/>
      <c r="M1885" s="14"/>
    </row>
    <row r="1886" spans="2:13" s="7" customFormat="1" ht="13.5">
      <c r="B1886" s="30"/>
      <c r="C1886" s="30"/>
      <c r="D1886" s="31"/>
      <c r="E1886" s="35"/>
      <c r="F1886" s="130"/>
      <c r="G1886" s="14"/>
      <c r="H1886" s="14"/>
      <c r="I1886" s="14"/>
      <c r="J1886" s="14"/>
      <c r="K1886" s="14"/>
      <c r="L1886" s="14"/>
      <c r="M1886" s="14"/>
    </row>
    <row r="1887" spans="2:13" s="7" customFormat="1" ht="13.5">
      <c r="B1887" s="30"/>
      <c r="C1887" s="30"/>
      <c r="D1887" s="31"/>
      <c r="E1887" s="35"/>
      <c r="F1887" s="130"/>
      <c r="G1887" s="14"/>
      <c r="H1887" s="14"/>
      <c r="I1887" s="14"/>
      <c r="J1887" s="14"/>
      <c r="K1887" s="14"/>
      <c r="L1887" s="14"/>
      <c r="M1887" s="14"/>
    </row>
    <row r="1888" spans="2:13" s="7" customFormat="1" ht="13.5">
      <c r="B1888" s="30"/>
      <c r="C1888" s="30"/>
      <c r="D1888" s="31"/>
      <c r="E1888" s="35"/>
      <c r="F1888" s="130"/>
      <c r="G1888" s="14"/>
      <c r="H1888" s="14"/>
      <c r="I1888" s="14"/>
      <c r="J1888" s="14"/>
      <c r="K1888" s="14"/>
      <c r="L1888" s="14"/>
      <c r="M1888" s="14"/>
    </row>
    <row r="1889" spans="2:13" s="7" customFormat="1" ht="13.5">
      <c r="B1889" s="30"/>
      <c r="C1889" s="30"/>
      <c r="D1889" s="31"/>
      <c r="E1889" s="35"/>
      <c r="F1889" s="130"/>
      <c r="G1889" s="14"/>
      <c r="H1889" s="14"/>
      <c r="I1889" s="14"/>
      <c r="J1889" s="14"/>
      <c r="K1889" s="14"/>
      <c r="L1889" s="14"/>
      <c r="M1889" s="14"/>
    </row>
    <row r="1890" spans="2:13" s="7" customFormat="1" ht="13.5">
      <c r="B1890" s="30"/>
      <c r="C1890" s="30"/>
      <c r="D1890" s="31"/>
      <c r="E1890" s="35"/>
      <c r="F1890" s="130"/>
      <c r="G1890" s="14"/>
      <c r="H1890" s="14"/>
      <c r="I1890" s="14"/>
      <c r="J1890" s="14"/>
      <c r="K1890" s="14"/>
      <c r="L1890" s="14"/>
      <c r="M1890" s="14"/>
    </row>
    <row r="1891" spans="2:13" s="7" customFormat="1" ht="13.5">
      <c r="B1891" s="30"/>
      <c r="C1891" s="30"/>
      <c r="D1891" s="31"/>
      <c r="E1891" s="35"/>
      <c r="F1891" s="130"/>
      <c r="G1891" s="14"/>
      <c r="H1891" s="14"/>
      <c r="I1891" s="14"/>
      <c r="J1891" s="14"/>
      <c r="K1891" s="14"/>
      <c r="L1891" s="14"/>
      <c r="M1891" s="14"/>
    </row>
    <row r="1892" spans="2:13" s="7" customFormat="1" ht="13.5">
      <c r="B1892" s="30"/>
      <c r="C1892" s="30"/>
      <c r="D1892" s="31"/>
      <c r="E1892" s="35"/>
      <c r="F1892" s="130"/>
      <c r="G1892" s="14"/>
      <c r="H1892" s="14"/>
      <c r="I1892" s="14"/>
      <c r="J1892" s="14"/>
      <c r="K1892" s="14"/>
      <c r="L1892" s="14"/>
      <c r="M1892" s="14"/>
    </row>
    <row r="1893" spans="2:13" s="7" customFormat="1" ht="13.5">
      <c r="B1893" s="30"/>
      <c r="C1893" s="30"/>
      <c r="D1893" s="31"/>
      <c r="E1893" s="35"/>
      <c r="F1893" s="130"/>
      <c r="G1893" s="14"/>
      <c r="H1893" s="14"/>
      <c r="I1893" s="14"/>
      <c r="J1893" s="14"/>
      <c r="K1893" s="14"/>
      <c r="L1893" s="14"/>
      <c r="M1893" s="14"/>
    </row>
    <row r="1894" spans="2:13" s="7" customFormat="1" ht="13.5">
      <c r="B1894" s="30"/>
      <c r="C1894" s="30"/>
      <c r="D1894" s="31"/>
      <c r="E1894" s="35"/>
      <c r="F1894" s="130"/>
      <c r="G1894" s="14"/>
      <c r="H1894" s="14"/>
      <c r="I1894" s="14"/>
      <c r="J1894" s="14"/>
      <c r="K1894" s="14"/>
      <c r="L1894" s="14"/>
      <c r="M1894" s="14"/>
    </row>
    <row r="1895" spans="2:13" s="7" customFormat="1" ht="13.5">
      <c r="B1895" s="30"/>
      <c r="C1895" s="30"/>
      <c r="D1895" s="31"/>
      <c r="E1895" s="35"/>
      <c r="F1895" s="130"/>
      <c r="G1895" s="14"/>
      <c r="H1895" s="14"/>
      <c r="I1895" s="14"/>
      <c r="J1895" s="14"/>
      <c r="K1895" s="14"/>
      <c r="L1895" s="14"/>
      <c r="M1895" s="14"/>
    </row>
    <row r="1896" spans="2:13" s="7" customFormat="1" ht="13.5">
      <c r="B1896" s="30"/>
      <c r="C1896" s="30"/>
      <c r="D1896" s="31"/>
      <c r="E1896" s="35"/>
      <c r="F1896" s="130"/>
      <c r="G1896" s="14"/>
      <c r="H1896" s="14"/>
      <c r="I1896" s="14"/>
      <c r="J1896" s="14"/>
      <c r="K1896" s="14"/>
      <c r="L1896" s="14"/>
      <c r="M1896" s="14"/>
    </row>
    <row r="1897" spans="2:13" s="7" customFormat="1" ht="13.5">
      <c r="B1897" s="30"/>
      <c r="C1897" s="30"/>
      <c r="D1897" s="31"/>
      <c r="E1897" s="35"/>
      <c r="F1897" s="130"/>
      <c r="G1897" s="14"/>
      <c r="H1897" s="14"/>
      <c r="I1897" s="14"/>
      <c r="J1897" s="14"/>
      <c r="K1897" s="14"/>
      <c r="L1897" s="14"/>
      <c r="M1897" s="14"/>
    </row>
    <row r="1898" spans="2:13" s="7" customFormat="1" ht="13.5">
      <c r="B1898" s="30"/>
      <c r="C1898" s="30"/>
      <c r="D1898" s="31"/>
      <c r="E1898" s="35"/>
      <c r="F1898" s="130"/>
      <c r="G1898" s="14"/>
      <c r="H1898" s="14"/>
      <c r="I1898" s="14"/>
      <c r="J1898" s="14"/>
      <c r="K1898" s="14"/>
      <c r="L1898" s="14"/>
      <c r="M1898" s="14"/>
    </row>
    <row r="1899" spans="2:13" s="7" customFormat="1" ht="13.5">
      <c r="B1899" s="30"/>
      <c r="C1899" s="30"/>
      <c r="D1899" s="31"/>
      <c r="E1899" s="35"/>
      <c r="F1899" s="130"/>
      <c r="G1899" s="14"/>
      <c r="H1899" s="14"/>
      <c r="I1899" s="14"/>
      <c r="J1899" s="14"/>
      <c r="K1899" s="14"/>
      <c r="L1899" s="14"/>
      <c r="M1899" s="14"/>
    </row>
    <row r="1900" spans="2:13" s="7" customFormat="1" ht="13.5">
      <c r="B1900" s="30"/>
      <c r="C1900" s="30"/>
      <c r="D1900" s="31"/>
      <c r="E1900" s="35"/>
      <c r="F1900" s="130"/>
      <c r="G1900" s="14"/>
      <c r="H1900" s="14"/>
      <c r="I1900" s="14"/>
      <c r="J1900" s="14"/>
      <c r="K1900" s="14"/>
      <c r="L1900" s="14"/>
      <c r="M1900" s="14"/>
    </row>
    <row r="1901" spans="2:13" s="7" customFormat="1" ht="13.5">
      <c r="B1901" s="30"/>
      <c r="C1901" s="30"/>
      <c r="D1901" s="31"/>
      <c r="E1901" s="35"/>
      <c r="F1901" s="130"/>
      <c r="G1901" s="14"/>
      <c r="H1901" s="14"/>
      <c r="I1901" s="14"/>
      <c r="J1901" s="14"/>
      <c r="K1901" s="14"/>
      <c r="L1901" s="14"/>
      <c r="M1901" s="14"/>
    </row>
    <row r="1902" spans="2:13" s="7" customFormat="1" ht="13.5">
      <c r="B1902" s="30"/>
      <c r="C1902" s="30"/>
      <c r="D1902" s="31"/>
      <c r="E1902" s="35"/>
      <c r="F1902" s="130"/>
      <c r="G1902" s="14"/>
      <c r="H1902" s="14"/>
      <c r="I1902" s="14"/>
      <c r="J1902" s="14"/>
      <c r="K1902" s="14"/>
      <c r="L1902" s="14"/>
      <c r="M1902" s="14"/>
    </row>
    <row r="1903" spans="2:13" s="7" customFormat="1" ht="13.5">
      <c r="B1903" s="30"/>
      <c r="C1903" s="30"/>
      <c r="D1903" s="31"/>
      <c r="E1903" s="35"/>
      <c r="F1903" s="130"/>
      <c r="G1903" s="14"/>
      <c r="H1903" s="14"/>
      <c r="I1903" s="14"/>
      <c r="J1903" s="14"/>
      <c r="K1903" s="14"/>
      <c r="L1903" s="14"/>
      <c r="M1903" s="14"/>
    </row>
    <row r="1904" spans="2:13" s="7" customFormat="1" ht="13.5">
      <c r="B1904" s="30"/>
      <c r="C1904" s="30"/>
      <c r="D1904" s="31"/>
      <c r="E1904" s="35"/>
      <c r="F1904" s="130"/>
      <c r="G1904" s="14"/>
      <c r="H1904" s="14"/>
      <c r="I1904" s="14"/>
      <c r="J1904" s="14"/>
      <c r="K1904" s="14"/>
      <c r="L1904" s="14"/>
      <c r="M1904" s="14"/>
    </row>
    <row r="1905" spans="2:13" s="7" customFormat="1" ht="13.5">
      <c r="B1905" s="30"/>
      <c r="C1905" s="30"/>
      <c r="D1905" s="31"/>
      <c r="E1905" s="35"/>
      <c r="F1905" s="130"/>
      <c r="G1905" s="14"/>
      <c r="H1905" s="14"/>
      <c r="I1905" s="14"/>
      <c r="J1905" s="14"/>
      <c r="K1905" s="14"/>
      <c r="L1905" s="14"/>
      <c r="M1905" s="14"/>
    </row>
    <row r="1906" spans="2:13" s="7" customFormat="1" ht="13.5">
      <c r="B1906" s="30"/>
      <c r="C1906" s="30"/>
      <c r="D1906" s="31"/>
      <c r="E1906" s="35"/>
      <c r="F1906" s="130"/>
      <c r="G1906" s="14"/>
      <c r="H1906" s="14"/>
      <c r="I1906" s="14"/>
      <c r="J1906" s="14"/>
      <c r="K1906" s="14"/>
      <c r="L1906" s="14"/>
      <c r="M1906" s="14"/>
    </row>
    <row r="1907" spans="2:13" s="7" customFormat="1" ht="13.5">
      <c r="B1907" s="30"/>
      <c r="C1907" s="30"/>
      <c r="D1907" s="31"/>
      <c r="E1907" s="35"/>
      <c r="F1907" s="130"/>
      <c r="G1907" s="14"/>
      <c r="H1907" s="14"/>
      <c r="I1907" s="14"/>
      <c r="J1907" s="14"/>
      <c r="K1907" s="14"/>
      <c r="L1907" s="14"/>
      <c r="M1907" s="14"/>
    </row>
    <row r="1908" spans="2:13" s="7" customFormat="1" ht="13.5">
      <c r="B1908" s="30"/>
      <c r="C1908" s="30"/>
      <c r="D1908" s="31"/>
      <c r="E1908" s="35"/>
      <c r="F1908" s="130"/>
      <c r="G1908" s="14"/>
      <c r="H1908" s="14"/>
      <c r="I1908" s="14"/>
      <c r="J1908" s="14"/>
      <c r="K1908" s="14"/>
      <c r="L1908" s="14"/>
      <c r="M1908" s="14"/>
    </row>
    <row r="1909" spans="2:13" s="7" customFormat="1" ht="13.5">
      <c r="B1909" s="30"/>
      <c r="C1909" s="30"/>
      <c r="D1909" s="31"/>
      <c r="E1909" s="35"/>
      <c r="F1909" s="130"/>
      <c r="G1909" s="14"/>
      <c r="H1909" s="14"/>
      <c r="I1909" s="14"/>
      <c r="J1909" s="14"/>
      <c r="K1909" s="14"/>
      <c r="L1909" s="14"/>
      <c r="M1909" s="14"/>
    </row>
    <row r="1910" spans="2:13" s="7" customFormat="1" ht="13.5">
      <c r="B1910" s="30"/>
      <c r="C1910" s="30"/>
      <c r="D1910" s="31"/>
      <c r="E1910" s="35"/>
      <c r="F1910" s="130"/>
      <c r="G1910" s="14"/>
      <c r="H1910" s="14"/>
      <c r="I1910" s="14"/>
      <c r="J1910" s="14"/>
      <c r="K1910" s="14"/>
      <c r="L1910" s="14"/>
      <c r="M1910" s="14"/>
    </row>
    <row r="1911" spans="2:13" s="7" customFormat="1" ht="13.5">
      <c r="B1911" s="30"/>
      <c r="C1911" s="30"/>
      <c r="D1911" s="31"/>
      <c r="E1911" s="35"/>
      <c r="F1911" s="130"/>
      <c r="G1911" s="14"/>
      <c r="H1911" s="14"/>
      <c r="I1911" s="14"/>
      <c r="J1911" s="14"/>
      <c r="K1911" s="14"/>
      <c r="L1911" s="14"/>
      <c r="M1911" s="14"/>
    </row>
    <row r="1912" spans="2:13" s="7" customFormat="1" ht="13.5">
      <c r="B1912" s="30"/>
      <c r="C1912" s="30"/>
      <c r="D1912" s="31"/>
      <c r="E1912" s="35"/>
      <c r="F1912" s="130"/>
      <c r="G1912" s="14"/>
      <c r="H1912" s="14"/>
      <c r="I1912" s="14"/>
      <c r="J1912" s="14"/>
      <c r="K1912" s="14"/>
      <c r="L1912" s="14"/>
      <c r="M1912" s="14"/>
    </row>
    <row r="1913" spans="2:13" s="7" customFormat="1" ht="13.5">
      <c r="B1913" s="30"/>
      <c r="C1913" s="30"/>
      <c r="D1913" s="31"/>
      <c r="E1913" s="35"/>
      <c r="F1913" s="130"/>
      <c r="G1913" s="14"/>
      <c r="H1913" s="14"/>
      <c r="I1913" s="14"/>
      <c r="J1913" s="14"/>
      <c r="K1913" s="14"/>
      <c r="L1913" s="14"/>
      <c r="M1913" s="14"/>
    </row>
    <row r="1914" spans="2:13" s="7" customFormat="1" ht="13.5">
      <c r="B1914" s="30"/>
      <c r="C1914" s="30"/>
      <c r="D1914" s="31"/>
      <c r="E1914" s="35"/>
      <c r="F1914" s="130"/>
      <c r="G1914" s="14"/>
      <c r="H1914" s="14"/>
      <c r="I1914" s="14"/>
      <c r="J1914" s="14"/>
      <c r="K1914" s="14"/>
      <c r="L1914" s="14"/>
      <c r="M1914" s="14"/>
    </row>
    <row r="1915" spans="2:13" s="7" customFormat="1" ht="13.5">
      <c r="B1915" s="30"/>
      <c r="C1915" s="30"/>
      <c r="D1915" s="31"/>
      <c r="E1915" s="35"/>
      <c r="F1915" s="130"/>
      <c r="G1915" s="14"/>
      <c r="H1915" s="14"/>
      <c r="I1915" s="14"/>
      <c r="J1915" s="14"/>
      <c r="K1915" s="14"/>
      <c r="L1915" s="14"/>
      <c r="M1915" s="14"/>
    </row>
    <row r="1916" spans="2:13" s="7" customFormat="1" ht="13.5">
      <c r="B1916" s="30"/>
      <c r="C1916" s="30"/>
      <c r="D1916" s="31"/>
      <c r="E1916" s="35"/>
      <c r="F1916" s="130"/>
      <c r="G1916" s="14"/>
      <c r="H1916" s="14"/>
      <c r="I1916" s="14"/>
      <c r="J1916" s="14"/>
      <c r="K1916" s="14"/>
      <c r="L1916" s="14"/>
      <c r="M1916" s="14"/>
    </row>
    <row r="1917" spans="2:13" s="7" customFormat="1" ht="13.5">
      <c r="B1917" s="30"/>
      <c r="C1917" s="30"/>
      <c r="D1917" s="31"/>
      <c r="E1917" s="35"/>
      <c r="F1917" s="130"/>
      <c r="G1917" s="14"/>
      <c r="H1917" s="14"/>
      <c r="I1917" s="14"/>
      <c r="J1917" s="14"/>
      <c r="K1917" s="14"/>
      <c r="L1917" s="14"/>
      <c r="M1917" s="14"/>
    </row>
    <row r="1918" spans="2:13" s="7" customFormat="1" ht="13.5">
      <c r="B1918" s="30"/>
      <c r="C1918" s="30"/>
      <c r="D1918" s="31"/>
      <c r="E1918" s="35"/>
      <c r="F1918" s="130"/>
      <c r="G1918" s="14"/>
      <c r="H1918" s="14"/>
      <c r="I1918" s="14"/>
      <c r="J1918" s="14"/>
      <c r="K1918" s="14"/>
      <c r="L1918" s="14"/>
      <c r="M1918" s="14"/>
    </row>
    <row r="1919" spans="2:13" s="7" customFormat="1" ht="13.5">
      <c r="B1919" s="30"/>
      <c r="C1919" s="30"/>
      <c r="D1919" s="31"/>
      <c r="E1919" s="35"/>
      <c r="F1919" s="130"/>
      <c r="G1919" s="14"/>
      <c r="H1919" s="14"/>
      <c r="I1919" s="14"/>
      <c r="J1919" s="14"/>
      <c r="K1919" s="14"/>
      <c r="L1919" s="14"/>
      <c r="M1919" s="14"/>
    </row>
    <row r="1920" spans="2:13" s="7" customFormat="1" ht="13.5">
      <c r="B1920" s="30"/>
      <c r="C1920" s="30"/>
      <c r="D1920" s="31"/>
      <c r="E1920" s="35"/>
      <c r="F1920" s="130"/>
      <c r="G1920" s="14"/>
      <c r="H1920" s="14"/>
      <c r="I1920" s="14"/>
      <c r="J1920" s="14"/>
      <c r="K1920" s="14"/>
      <c r="L1920" s="14"/>
      <c r="M1920" s="14"/>
    </row>
    <row r="1921" spans="2:13" s="7" customFormat="1" ht="13.5">
      <c r="B1921" s="30"/>
      <c r="C1921" s="30"/>
      <c r="D1921" s="31"/>
      <c r="E1921" s="35"/>
      <c r="F1921" s="130"/>
      <c r="G1921" s="14"/>
      <c r="H1921" s="14"/>
      <c r="I1921" s="14"/>
      <c r="J1921" s="14"/>
      <c r="K1921" s="14"/>
      <c r="L1921" s="14"/>
      <c r="M1921" s="14"/>
    </row>
    <row r="1922" spans="2:13" s="7" customFormat="1" ht="13.5">
      <c r="B1922" s="30"/>
      <c r="C1922" s="30"/>
      <c r="D1922" s="31"/>
      <c r="E1922" s="35"/>
      <c r="F1922" s="130"/>
      <c r="G1922" s="14"/>
      <c r="H1922" s="14"/>
      <c r="I1922" s="14"/>
      <c r="J1922" s="14"/>
      <c r="K1922" s="14"/>
      <c r="L1922" s="14"/>
      <c r="M1922" s="14"/>
    </row>
    <row r="1923" spans="2:13" s="7" customFormat="1" ht="13.5">
      <c r="B1923" s="30"/>
      <c r="C1923" s="30"/>
      <c r="D1923" s="31"/>
      <c r="E1923" s="35"/>
      <c r="F1923" s="130"/>
      <c r="G1923" s="14"/>
      <c r="H1923" s="14"/>
      <c r="I1923" s="14"/>
      <c r="J1923" s="14"/>
      <c r="K1923" s="14"/>
      <c r="L1923" s="14"/>
      <c r="M1923" s="14"/>
    </row>
    <row r="1924" spans="2:13" s="7" customFormat="1" ht="13.5">
      <c r="B1924" s="30"/>
      <c r="C1924" s="30"/>
      <c r="D1924" s="31"/>
      <c r="E1924" s="35"/>
      <c r="F1924" s="130"/>
      <c r="G1924" s="14"/>
      <c r="H1924" s="14"/>
      <c r="I1924" s="14"/>
      <c r="J1924" s="14"/>
      <c r="K1924" s="14"/>
      <c r="L1924" s="14"/>
      <c r="M1924" s="14"/>
    </row>
    <row r="1925" spans="2:13" s="7" customFormat="1" ht="13.5">
      <c r="B1925" s="30"/>
      <c r="C1925" s="30"/>
      <c r="D1925" s="31"/>
      <c r="E1925" s="35"/>
      <c r="F1925" s="130"/>
      <c r="G1925" s="14"/>
      <c r="H1925" s="14"/>
      <c r="I1925" s="14"/>
      <c r="J1925" s="14"/>
      <c r="K1925" s="14"/>
      <c r="L1925" s="14"/>
      <c r="M1925" s="14"/>
    </row>
    <row r="1926" spans="2:13" s="7" customFormat="1" ht="13.5">
      <c r="B1926" s="30"/>
      <c r="C1926" s="30"/>
      <c r="D1926" s="31"/>
      <c r="E1926" s="35"/>
      <c r="F1926" s="130"/>
      <c r="G1926" s="14"/>
      <c r="H1926" s="14"/>
      <c r="I1926" s="14"/>
      <c r="J1926" s="14"/>
      <c r="K1926" s="14"/>
      <c r="L1926" s="14"/>
      <c r="M1926" s="14"/>
    </row>
    <row r="1927" spans="2:13" s="7" customFormat="1" ht="13.5">
      <c r="B1927" s="30"/>
      <c r="C1927" s="30"/>
      <c r="D1927" s="31"/>
      <c r="E1927" s="35"/>
      <c r="F1927" s="130"/>
      <c r="G1927" s="14"/>
      <c r="H1927" s="14"/>
      <c r="I1927" s="14"/>
      <c r="J1927" s="14"/>
      <c r="K1927" s="14"/>
      <c r="L1927" s="14"/>
      <c r="M1927" s="14"/>
    </row>
    <row r="1928" spans="2:13" s="7" customFormat="1" ht="13.5">
      <c r="B1928" s="30"/>
      <c r="C1928" s="30"/>
      <c r="D1928" s="31"/>
      <c r="E1928" s="35"/>
      <c r="F1928" s="130"/>
      <c r="G1928" s="14"/>
      <c r="H1928" s="14"/>
      <c r="I1928" s="14"/>
      <c r="J1928" s="14"/>
      <c r="K1928" s="14"/>
      <c r="L1928" s="14"/>
      <c r="M1928" s="14"/>
    </row>
    <row r="1929" spans="2:13" s="7" customFormat="1" ht="13.5">
      <c r="B1929" s="30"/>
      <c r="C1929" s="30"/>
      <c r="D1929" s="31"/>
      <c r="E1929" s="35"/>
      <c r="F1929" s="130"/>
      <c r="G1929" s="14"/>
      <c r="H1929" s="14"/>
      <c r="I1929" s="14"/>
      <c r="J1929" s="14"/>
      <c r="K1929" s="14"/>
      <c r="L1929" s="14"/>
      <c r="M1929" s="14"/>
    </row>
    <row r="1930" spans="2:13" s="7" customFormat="1" ht="13.5">
      <c r="B1930" s="30"/>
      <c r="C1930" s="30"/>
      <c r="D1930" s="31"/>
      <c r="E1930" s="35"/>
      <c r="F1930" s="130"/>
      <c r="G1930" s="14"/>
      <c r="H1930" s="14"/>
      <c r="I1930" s="14"/>
      <c r="J1930" s="14"/>
      <c r="K1930" s="14"/>
      <c r="L1930" s="14"/>
      <c r="M1930" s="14"/>
    </row>
    <row r="1931" spans="2:13" s="7" customFormat="1" ht="13.5">
      <c r="B1931" s="30"/>
      <c r="C1931" s="30"/>
      <c r="D1931" s="31"/>
      <c r="E1931" s="35"/>
      <c r="F1931" s="130"/>
      <c r="G1931" s="14"/>
      <c r="H1931" s="14"/>
      <c r="I1931" s="14"/>
      <c r="J1931" s="14"/>
      <c r="K1931" s="14"/>
      <c r="L1931" s="14"/>
      <c r="M1931" s="14"/>
    </row>
    <row r="1932" spans="2:13" s="7" customFormat="1" ht="13.5">
      <c r="B1932" s="30"/>
      <c r="C1932" s="30"/>
      <c r="D1932" s="31"/>
      <c r="E1932" s="35"/>
      <c r="F1932" s="130"/>
      <c r="G1932" s="14"/>
      <c r="H1932" s="14"/>
      <c r="I1932" s="14"/>
      <c r="J1932" s="14"/>
      <c r="K1932" s="14"/>
      <c r="L1932" s="14"/>
      <c r="M1932" s="14"/>
    </row>
    <row r="1933" spans="2:13" s="7" customFormat="1" ht="13.5">
      <c r="B1933" s="30"/>
      <c r="C1933" s="30"/>
      <c r="D1933" s="31"/>
      <c r="E1933" s="35"/>
      <c r="F1933" s="130"/>
      <c r="G1933" s="14"/>
      <c r="H1933" s="14"/>
      <c r="I1933" s="14"/>
      <c r="J1933" s="14"/>
      <c r="K1933" s="14"/>
      <c r="L1933" s="14"/>
      <c r="M1933" s="14"/>
    </row>
    <row r="1934" spans="2:13" s="7" customFormat="1" ht="13.5">
      <c r="B1934" s="30"/>
      <c r="C1934" s="30"/>
      <c r="D1934" s="31"/>
      <c r="E1934" s="35"/>
      <c r="F1934" s="130"/>
      <c r="G1934" s="14"/>
      <c r="H1934" s="14"/>
      <c r="I1934" s="14"/>
      <c r="J1934" s="14"/>
      <c r="K1934" s="14"/>
      <c r="L1934" s="14"/>
      <c r="M1934" s="14"/>
    </row>
    <row r="1935" spans="2:13" s="7" customFormat="1" ht="13.5">
      <c r="B1935" s="30"/>
      <c r="C1935" s="30"/>
      <c r="D1935" s="31"/>
      <c r="E1935" s="35"/>
      <c r="F1935" s="130"/>
      <c r="G1935" s="14"/>
      <c r="H1935" s="14"/>
      <c r="I1935" s="14"/>
      <c r="J1935" s="14"/>
      <c r="K1935" s="14"/>
      <c r="L1935" s="14"/>
      <c r="M1935" s="14"/>
    </row>
    <row r="1936" spans="2:13" s="7" customFormat="1" ht="13.5">
      <c r="B1936" s="30"/>
      <c r="C1936" s="30"/>
      <c r="D1936" s="31"/>
      <c r="E1936" s="35"/>
      <c r="F1936" s="130"/>
      <c r="G1936" s="14"/>
      <c r="H1936" s="14"/>
      <c r="I1936" s="14"/>
      <c r="J1936" s="14"/>
      <c r="K1936" s="14"/>
      <c r="L1936" s="14"/>
      <c r="M1936" s="14"/>
    </row>
    <row r="1937" spans="2:13" s="7" customFormat="1" ht="13.5">
      <c r="B1937" s="30"/>
      <c r="C1937" s="30"/>
      <c r="D1937" s="31"/>
      <c r="E1937" s="35"/>
      <c r="F1937" s="130"/>
      <c r="G1937" s="14"/>
      <c r="H1937" s="14"/>
      <c r="I1937" s="14"/>
      <c r="J1937" s="14"/>
      <c r="K1937" s="14"/>
      <c r="L1937" s="14"/>
      <c r="M1937" s="14"/>
    </row>
    <row r="1938" spans="2:13" s="7" customFormat="1" ht="13.5">
      <c r="B1938" s="30"/>
      <c r="C1938" s="30"/>
      <c r="D1938" s="31"/>
      <c r="E1938" s="35"/>
      <c r="F1938" s="130"/>
      <c r="G1938" s="14"/>
      <c r="H1938" s="14"/>
      <c r="I1938" s="14"/>
      <c r="J1938" s="14"/>
      <c r="K1938" s="14"/>
      <c r="L1938" s="14"/>
      <c r="M1938" s="14"/>
    </row>
    <row r="1939" spans="2:13" s="7" customFormat="1" ht="13.5">
      <c r="B1939" s="30"/>
      <c r="C1939" s="30"/>
      <c r="D1939" s="31"/>
      <c r="E1939" s="35"/>
      <c r="F1939" s="130"/>
      <c r="G1939" s="14"/>
      <c r="H1939" s="14"/>
      <c r="I1939" s="14"/>
      <c r="J1939" s="14"/>
      <c r="K1939" s="14"/>
      <c r="L1939" s="14"/>
      <c r="M1939" s="14"/>
    </row>
    <row r="1940" spans="2:13" s="7" customFormat="1" ht="13.5">
      <c r="B1940" s="30"/>
      <c r="C1940" s="30"/>
      <c r="D1940" s="31"/>
      <c r="E1940" s="35"/>
      <c r="F1940" s="130"/>
      <c r="G1940" s="14"/>
      <c r="H1940" s="14"/>
      <c r="I1940" s="14"/>
      <c r="J1940" s="14"/>
      <c r="K1940" s="14"/>
      <c r="L1940" s="14"/>
      <c r="M1940" s="14"/>
    </row>
    <row r="1941" spans="2:13" s="7" customFormat="1" ht="13.5">
      <c r="B1941" s="30"/>
      <c r="C1941" s="30"/>
      <c r="D1941" s="31"/>
      <c r="E1941" s="35"/>
      <c r="F1941" s="130"/>
      <c r="G1941" s="14"/>
      <c r="H1941" s="14"/>
      <c r="I1941" s="14"/>
      <c r="J1941" s="14"/>
      <c r="K1941" s="14"/>
      <c r="L1941" s="14"/>
      <c r="M1941" s="14"/>
    </row>
    <row r="1942" spans="2:13" s="7" customFormat="1" ht="13.5">
      <c r="B1942" s="30"/>
      <c r="C1942" s="30"/>
      <c r="D1942" s="31"/>
      <c r="E1942" s="35"/>
      <c r="F1942" s="130"/>
      <c r="G1942" s="14"/>
      <c r="H1942" s="14"/>
      <c r="I1942" s="14"/>
      <c r="J1942" s="14"/>
      <c r="K1942" s="14"/>
      <c r="L1942" s="14"/>
      <c r="M1942" s="14"/>
    </row>
    <row r="1943" spans="2:13" s="7" customFormat="1" ht="13.5">
      <c r="B1943" s="30"/>
      <c r="C1943" s="30"/>
      <c r="D1943" s="31"/>
      <c r="E1943" s="35"/>
      <c r="F1943" s="130"/>
      <c r="G1943" s="14"/>
      <c r="H1943" s="14"/>
      <c r="I1943" s="14"/>
      <c r="J1943" s="14"/>
      <c r="K1943" s="14"/>
      <c r="L1943" s="14"/>
      <c r="M1943" s="14"/>
    </row>
    <row r="1944" spans="2:13" s="7" customFormat="1" ht="13.5">
      <c r="B1944" s="30"/>
      <c r="C1944" s="30"/>
      <c r="D1944" s="31"/>
      <c r="E1944" s="35"/>
      <c r="F1944" s="130"/>
      <c r="G1944" s="14"/>
      <c r="H1944" s="14"/>
      <c r="I1944" s="14"/>
      <c r="J1944" s="14"/>
      <c r="K1944" s="14"/>
      <c r="L1944" s="14"/>
      <c r="M1944" s="14"/>
    </row>
    <row r="1945" spans="2:13" s="7" customFormat="1" ht="13.5">
      <c r="B1945" s="30"/>
      <c r="C1945" s="30"/>
      <c r="D1945" s="31"/>
      <c r="E1945" s="35"/>
      <c r="F1945" s="130"/>
      <c r="G1945" s="14"/>
      <c r="H1945" s="14"/>
      <c r="I1945" s="14"/>
      <c r="J1945" s="14"/>
      <c r="K1945" s="14"/>
      <c r="L1945" s="14"/>
      <c r="M1945" s="14"/>
    </row>
    <row r="1946" spans="2:13" s="7" customFormat="1" ht="13.5">
      <c r="B1946" s="30"/>
      <c r="C1946" s="30"/>
      <c r="D1946" s="31"/>
      <c r="E1946" s="35"/>
      <c r="F1946" s="130"/>
      <c r="G1946" s="14"/>
      <c r="H1946" s="14"/>
      <c r="I1946" s="14"/>
      <c r="J1946" s="14"/>
      <c r="K1946" s="14"/>
      <c r="L1946" s="14"/>
      <c r="M1946" s="14"/>
    </row>
    <row r="1947" spans="2:13" s="7" customFormat="1" ht="13.5">
      <c r="B1947" s="30"/>
      <c r="C1947" s="30"/>
      <c r="D1947" s="31"/>
      <c r="E1947" s="35"/>
      <c r="F1947" s="130"/>
      <c r="G1947" s="14"/>
      <c r="H1947" s="14"/>
      <c r="I1947" s="14"/>
      <c r="J1947" s="14"/>
      <c r="K1947" s="14"/>
      <c r="L1947" s="14"/>
      <c r="M1947" s="14"/>
    </row>
    <row r="1948" spans="2:13" s="7" customFormat="1" ht="13.5">
      <c r="B1948" s="30"/>
      <c r="C1948" s="30"/>
      <c r="D1948" s="31"/>
      <c r="E1948" s="35"/>
      <c r="F1948" s="130"/>
      <c r="G1948" s="14"/>
      <c r="H1948" s="14"/>
      <c r="I1948" s="14"/>
      <c r="J1948" s="14"/>
      <c r="K1948" s="14"/>
      <c r="L1948" s="14"/>
      <c r="M1948" s="14"/>
    </row>
    <row r="1949" spans="2:13" s="7" customFormat="1" ht="13.5">
      <c r="B1949" s="30"/>
      <c r="C1949" s="30"/>
      <c r="D1949" s="31"/>
      <c r="E1949" s="35"/>
      <c r="F1949" s="130"/>
      <c r="G1949" s="14"/>
      <c r="H1949" s="14"/>
      <c r="I1949" s="14"/>
      <c r="J1949" s="14"/>
      <c r="K1949" s="14"/>
      <c r="L1949" s="14"/>
      <c r="M1949" s="14"/>
    </row>
    <row r="1950" spans="2:13" s="7" customFormat="1" ht="13.5">
      <c r="B1950" s="30"/>
      <c r="C1950" s="30"/>
      <c r="D1950" s="31"/>
      <c r="E1950" s="35"/>
      <c r="F1950" s="130"/>
      <c r="G1950" s="14"/>
      <c r="H1950" s="14"/>
      <c r="I1950" s="14"/>
      <c r="J1950" s="14"/>
      <c r="K1950" s="14"/>
      <c r="L1950" s="14"/>
      <c r="M1950" s="14"/>
    </row>
    <row r="1951" spans="2:13" s="7" customFormat="1" ht="13.5">
      <c r="B1951" s="30"/>
      <c r="C1951" s="30"/>
      <c r="D1951" s="31"/>
      <c r="E1951" s="35"/>
      <c r="F1951" s="130"/>
      <c r="G1951" s="14"/>
      <c r="H1951" s="14"/>
      <c r="I1951" s="14"/>
      <c r="J1951" s="14"/>
      <c r="K1951" s="14"/>
      <c r="L1951" s="14"/>
      <c r="M1951" s="14"/>
    </row>
    <row r="1952" spans="2:13" s="7" customFormat="1" ht="13.5">
      <c r="B1952" s="30"/>
      <c r="C1952" s="30"/>
      <c r="D1952" s="31"/>
      <c r="E1952" s="35"/>
      <c r="F1952" s="130"/>
      <c r="G1952" s="14"/>
      <c r="H1952" s="14"/>
      <c r="I1952" s="14"/>
      <c r="J1952" s="14"/>
      <c r="K1952" s="14"/>
      <c r="L1952" s="14"/>
      <c r="M1952" s="14"/>
    </row>
    <row r="1953" spans="2:13" s="7" customFormat="1" ht="13.5">
      <c r="B1953" s="30"/>
      <c r="C1953" s="30"/>
      <c r="D1953" s="31"/>
      <c r="E1953" s="35"/>
      <c r="F1953" s="130"/>
      <c r="G1953" s="14"/>
      <c r="H1953" s="14"/>
      <c r="I1953" s="14"/>
      <c r="J1953" s="14"/>
      <c r="K1953" s="14"/>
      <c r="L1953" s="14"/>
      <c r="M1953" s="14"/>
    </row>
    <row r="1954" spans="2:13" s="7" customFormat="1" ht="13.5">
      <c r="B1954" s="30"/>
      <c r="C1954" s="30"/>
      <c r="D1954" s="31"/>
      <c r="E1954" s="35"/>
      <c r="F1954" s="130"/>
      <c r="G1954" s="14"/>
      <c r="H1954" s="14"/>
      <c r="I1954" s="14"/>
      <c r="J1954" s="14"/>
      <c r="K1954" s="14"/>
      <c r="L1954" s="14"/>
      <c r="M1954" s="14"/>
    </row>
    <row r="1955" spans="2:13" s="7" customFormat="1" ht="13.5">
      <c r="B1955" s="30"/>
      <c r="C1955" s="30"/>
      <c r="D1955" s="31"/>
      <c r="E1955" s="35"/>
      <c r="F1955" s="130"/>
      <c r="G1955" s="14"/>
      <c r="H1955" s="14"/>
      <c r="I1955" s="14"/>
      <c r="J1955" s="14"/>
      <c r="K1955" s="14"/>
      <c r="L1955" s="14"/>
      <c r="M1955" s="14"/>
    </row>
    <row r="1956" spans="2:13" s="7" customFormat="1" ht="13.5">
      <c r="B1956" s="30"/>
      <c r="C1956" s="30"/>
      <c r="D1956" s="31"/>
      <c r="E1956" s="35"/>
      <c r="F1956" s="130"/>
      <c r="G1956" s="14"/>
      <c r="H1956" s="14"/>
      <c r="I1956" s="14"/>
      <c r="J1956" s="14"/>
      <c r="K1956" s="14"/>
      <c r="L1956" s="14"/>
      <c r="M1956" s="14"/>
    </row>
    <row r="1957" spans="2:13" s="7" customFormat="1" ht="13.5">
      <c r="B1957" s="30"/>
      <c r="C1957" s="30"/>
      <c r="D1957" s="31"/>
      <c r="E1957" s="35"/>
      <c r="F1957" s="130"/>
      <c r="G1957" s="14"/>
      <c r="H1957" s="14"/>
      <c r="I1957" s="14"/>
      <c r="J1957" s="14"/>
      <c r="K1957" s="14"/>
      <c r="L1957" s="14"/>
      <c r="M1957" s="14"/>
    </row>
    <row r="1958" spans="2:13" s="7" customFormat="1" ht="13.5">
      <c r="B1958" s="30"/>
      <c r="C1958" s="30"/>
      <c r="D1958" s="31"/>
      <c r="E1958" s="35"/>
      <c r="F1958" s="130"/>
      <c r="G1958" s="14"/>
      <c r="H1958" s="14"/>
      <c r="I1958" s="14"/>
      <c r="J1958" s="14"/>
      <c r="K1958" s="14"/>
      <c r="L1958" s="14"/>
      <c r="M1958" s="14"/>
    </row>
    <row r="1959" spans="2:13" s="7" customFormat="1" ht="13.5">
      <c r="B1959" s="30"/>
      <c r="C1959" s="30"/>
      <c r="D1959" s="31"/>
      <c r="E1959" s="35"/>
      <c r="F1959" s="130"/>
      <c r="G1959" s="14"/>
      <c r="H1959" s="14"/>
      <c r="I1959" s="14"/>
      <c r="J1959" s="14"/>
      <c r="K1959" s="14"/>
      <c r="L1959" s="14"/>
      <c r="M1959" s="14"/>
    </row>
    <row r="1960" spans="2:13" s="7" customFormat="1" ht="13.5">
      <c r="B1960" s="30"/>
      <c r="C1960" s="30"/>
      <c r="D1960" s="31"/>
      <c r="E1960" s="35"/>
      <c r="F1960" s="130"/>
      <c r="G1960" s="14"/>
      <c r="H1960" s="14"/>
      <c r="I1960" s="14"/>
      <c r="J1960" s="14"/>
      <c r="K1960" s="14"/>
      <c r="L1960" s="14"/>
      <c r="M1960" s="14"/>
    </row>
    <row r="1961" spans="2:13" s="7" customFormat="1" ht="13.5">
      <c r="B1961" s="30"/>
      <c r="C1961" s="30"/>
      <c r="D1961" s="31"/>
      <c r="E1961" s="35"/>
      <c r="F1961" s="130"/>
      <c r="G1961" s="14"/>
      <c r="H1961" s="14"/>
      <c r="I1961" s="14"/>
      <c r="J1961" s="14"/>
      <c r="K1961" s="14"/>
      <c r="L1961" s="14"/>
      <c r="M1961" s="14"/>
    </row>
    <row r="1962" spans="2:13" s="7" customFormat="1" ht="13.5">
      <c r="B1962" s="30"/>
      <c r="C1962" s="30"/>
      <c r="D1962" s="31"/>
      <c r="E1962" s="35"/>
      <c r="F1962" s="130"/>
      <c r="G1962" s="14"/>
      <c r="H1962" s="14"/>
      <c r="I1962" s="14"/>
      <c r="J1962" s="14"/>
      <c r="K1962" s="14"/>
      <c r="L1962" s="14"/>
      <c r="M1962" s="14"/>
    </row>
    <row r="1963" spans="2:13" s="7" customFormat="1" ht="13.5">
      <c r="B1963" s="30"/>
      <c r="C1963" s="30"/>
      <c r="D1963" s="31"/>
      <c r="E1963" s="35"/>
      <c r="F1963" s="130"/>
      <c r="G1963" s="14"/>
      <c r="H1963" s="14"/>
      <c r="I1963" s="14"/>
      <c r="J1963" s="14"/>
      <c r="K1963" s="14"/>
      <c r="L1963" s="14"/>
      <c r="M1963" s="14"/>
    </row>
    <row r="1964" spans="2:13" s="7" customFormat="1" ht="13.5">
      <c r="B1964" s="30"/>
      <c r="C1964" s="30"/>
      <c r="D1964" s="31"/>
      <c r="E1964" s="35"/>
      <c r="F1964" s="130"/>
      <c r="G1964" s="14"/>
      <c r="H1964" s="14"/>
      <c r="I1964" s="14"/>
      <c r="J1964" s="14"/>
      <c r="K1964" s="14"/>
      <c r="L1964" s="14"/>
      <c r="M1964" s="14"/>
    </row>
    <row r="1965" spans="2:13" s="7" customFormat="1" ht="13.5">
      <c r="B1965" s="30"/>
      <c r="C1965" s="30"/>
      <c r="D1965" s="31"/>
      <c r="E1965" s="35"/>
      <c r="F1965" s="130"/>
      <c r="G1965" s="14"/>
      <c r="H1965" s="14"/>
      <c r="I1965" s="14"/>
      <c r="J1965" s="14"/>
      <c r="K1965" s="14"/>
      <c r="L1965" s="14"/>
      <c r="M1965" s="14"/>
    </row>
    <row r="1966" spans="2:13" s="7" customFormat="1" ht="13.5">
      <c r="B1966" s="30"/>
      <c r="C1966" s="30"/>
      <c r="D1966" s="31"/>
      <c r="E1966" s="35"/>
      <c r="F1966" s="130"/>
      <c r="G1966" s="14"/>
      <c r="H1966" s="14"/>
      <c r="I1966" s="14"/>
      <c r="J1966" s="14"/>
      <c r="K1966" s="14"/>
      <c r="L1966" s="14"/>
      <c r="M1966" s="14"/>
    </row>
    <row r="1967" spans="2:13" s="7" customFormat="1" ht="13.5">
      <c r="B1967" s="30"/>
      <c r="C1967" s="30"/>
      <c r="D1967" s="31"/>
      <c r="E1967" s="35"/>
      <c r="F1967" s="130"/>
      <c r="G1967" s="14"/>
      <c r="H1967" s="14"/>
      <c r="I1967" s="14"/>
      <c r="J1967" s="14"/>
      <c r="K1967" s="14"/>
      <c r="L1967" s="14"/>
      <c r="M1967" s="14"/>
    </row>
    <row r="1968" spans="2:13" s="7" customFormat="1" ht="13.5">
      <c r="B1968" s="30"/>
      <c r="C1968" s="30"/>
      <c r="D1968" s="31"/>
      <c r="E1968" s="35"/>
      <c r="F1968" s="130"/>
      <c r="G1968" s="14"/>
      <c r="H1968" s="14"/>
      <c r="I1968" s="14"/>
      <c r="J1968" s="14"/>
      <c r="K1968" s="14"/>
      <c r="L1968" s="14"/>
      <c r="M1968" s="14"/>
    </row>
    <row r="1969" spans="2:13" s="7" customFormat="1" ht="13.5">
      <c r="B1969" s="30"/>
      <c r="C1969" s="30"/>
      <c r="D1969" s="31"/>
      <c r="E1969" s="35"/>
      <c r="F1969" s="130"/>
      <c r="G1969" s="14"/>
      <c r="H1969" s="14"/>
      <c r="I1969" s="14"/>
      <c r="J1969" s="14"/>
      <c r="K1969" s="14"/>
      <c r="L1969" s="14"/>
      <c r="M1969" s="14"/>
    </row>
    <row r="1970" spans="2:13" s="7" customFormat="1" ht="13.5">
      <c r="B1970" s="30"/>
      <c r="C1970" s="30"/>
      <c r="D1970" s="31"/>
      <c r="E1970" s="35"/>
      <c r="F1970" s="130"/>
      <c r="G1970" s="14"/>
      <c r="H1970" s="14"/>
      <c r="I1970" s="14"/>
      <c r="J1970" s="14"/>
      <c r="K1970" s="14"/>
      <c r="L1970" s="14"/>
      <c r="M1970" s="14"/>
    </row>
    <row r="1971" spans="2:13" s="7" customFormat="1" ht="13.5">
      <c r="B1971" s="30"/>
      <c r="C1971" s="30"/>
      <c r="D1971" s="31"/>
      <c r="E1971" s="35"/>
      <c r="F1971" s="130"/>
      <c r="G1971" s="14"/>
      <c r="H1971" s="14"/>
      <c r="I1971" s="14"/>
      <c r="J1971" s="14"/>
      <c r="K1971" s="14"/>
      <c r="L1971" s="14"/>
      <c r="M1971" s="14"/>
    </row>
    <row r="1972" spans="2:13" s="7" customFormat="1" ht="13.5">
      <c r="B1972" s="30"/>
      <c r="C1972" s="30"/>
      <c r="D1972" s="31"/>
      <c r="E1972" s="35"/>
      <c r="F1972" s="130"/>
      <c r="G1972" s="14"/>
      <c r="H1972" s="14"/>
      <c r="I1972" s="14"/>
      <c r="J1972" s="14"/>
      <c r="K1972" s="14"/>
      <c r="L1972" s="14"/>
      <c r="M1972" s="14"/>
    </row>
    <row r="1973" spans="2:13" s="7" customFormat="1" ht="13.5">
      <c r="B1973" s="30"/>
      <c r="C1973" s="30"/>
      <c r="D1973" s="31"/>
      <c r="E1973" s="35"/>
      <c r="F1973" s="130"/>
      <c r="G1973" s="14"/>
      <c r="H1973" s="14"/>
      <c r="I1973" s="14"/>
      <c r="J1973" s="14"/>
      <c r="K1973" s="14"/>
      <c r="L1973" s="14"/>
      <c r="M1973" s="14"/>
    </row>
    <row r="1974" spans="2:13" s="7" customFormat="1" ht="13.5">
      <c r="B1974" s="30"/>
      <c r="C1974" s="30"/>
      <c r="D1974" s="31"/>
      <c r="E1974" s="35"/>
      <c r="F1974" s="130"/>
      <c r="G1974" s="14"/>
      <c r="H1974" s="14"/>
      <c r="I1974" s="14"/>
      <c r="J1974" s="14"/>
      <c r="K1974" s="14"/>
      <c r="L1974" s="14"/>
      <c r="M1974" s="14"/>
    </row>
    <row r="1975" spans="2:13" s="7" customFormat="1" ht="13.5">
      <c r="B1975" s="30"/>
      <c r="C1975" s="30"/>
      <c r="D1975" s="31"/>
      <c r="E1975" s="35"/>
      <c r="F1975" s="130"/>
      <c r="G1975" s="14"/>
      <c r="H1975" s="14"/>
      <c r="I1975" s="14"/>
      <c r="J1975" s="14"/>
      <c r="K1975" s="14"/>
      <c r="L1975" s="14"/>
      <c r="M1975" s="14"/>
    </row>
    <row r="1976" spans="2:13" s="7" customFormat="1" ht="13.5">
      <c r="B1976" s="30"/>
      <c r="C1976" s="30"/>
      <c r="D1976" s="31"/>
      <c r="E1976" s="35"/>
      <c r="F1976" s="130"/>
      <c r="G1976" s="14"/>
      <c r="H1976" s="14"/>
      <c r="I1976" s="14"/>
      <c r="J1976" s="14"/>
      <c r="K1976" s="14"/>
      <c r="L1976" s="14"/>
      <c r="M1976" s="14"/>
    </row>
    <row r="1977" spans="2:13" s="7" customFormat="1" ht="13.5">
      <c r="B1977" s="30"/>
      <c r="C1977" s="30"/>
      <c r="D1977" s="31"/>
      <c r="E1977" s="35"/>
      <c r="F1977" s="130"/>
      <c r="G1977" s="14"/>
      <c r="H1977" s="14"/>
      <c r="I1977" s="14"/>
      <c r="J1977" s="14"/>
      <c r="K1977" s="14"/>
      <c r="L1977" s="14"/>
      <c r="M1977" s="14"/>
    </row>
    <row r="1978" spans="2:13" s="7" customFormat="1" ht="13.5">
      <c r="B1978" s="30"/>
      <c r="C1978" s="30"/>
      <c r="D1978" s="31"/>
      <c r="E1978" s="35"/>
      <c r="F1978" s="130"/>
      <c r="G1978" s="14"/>
      <c r="H1978" s="14"/>
      <c r="I1978" s="14"/>
      <c r="J1978" s="14"/>
      <c r="K1978" s="14"/>
      <c r="L1978" s="14"/>
      <c r="M1978" s="14"/>
    </row>
    <row r="1979" spans="2:13" s="7" customFormat="1" ht="13.5">
      <c r="B1979" s="30"/>
      <c r="C1979" s="30"/>
      <c r="D1979" s="31"/>
      <c r="E1979" s="35"/>
      <c r="F1979" s="130"/>
      <c r="G1979" s="14"/>
      <c r="H1979" s="14"/>
      <c r="I1979" s="14"/>
      <c r="J1979" s="14"/>
      <c r="K1979" s="14"/>
      <c r="L1979" s="14"/>
      <c r="M1979" s="14"/>
    </row>
    <row r="1980" spans="2:13" s="7" customFormat="1" ht="13.5">
      <c r="B1980" s="30"/>
      <c r="C1980" s="30"/>
      <c r="D1980" s="31"/>
      <c r="E1980" s="35"/>
      <c r="F1980" s="130"/>
      <c r="G1980" s="14"/>
      <c r="H1980" s="14"/>
      <c r="I1980" s="14"/>
      <c r="J1980" s="14"/>
      <c r="K1980" s="14"/>
      <c r="L1980" s="14"/>
      <c r="M1980" s="14"/>
    </row>
    <row r="1981" spans="2:13" s="7" customFormat="1" ht="13.5">
      <c r="B1981" s="30"/>
      <c r="C1981" s="30"/>
      <c r="D1981" s="31"/>
      <c r="E1981" s="35"/>
      <c r="F1981" s="130"/>
      <c r="G1981" s="14"/>
      <c r="H1981" s="14"/>
      <c r="I1981" s="14"/>
      <c r="J1981" s="14"/>
      <c r="K1981" s="14"/>
      <c r="L1981" s="14"/>
      <c r="M1981" s="14"/>
    </row>
    <row r="1982" spans="2:13" s="7" customFormat="1" ht="13.5">
      <c r="B1982" s="30"/>
      <c r="C1982" s="30"/>
      <c r="D1982" s="31"/>
      <c r="E1982" s="35"/>
      <c r="F1982" s="130"/>
      <c r="G1982" s="14"/>
      <c r="H1982" s="14"/>
      <c r="I1982" s="14"/>
      <c r="J1982" s="14"/>
      <c r="K1982" s="14"/>
      <c r="L1982" s="14"/>
      <c r="M1982" s="14"/>
    </row>
    <row r="1983" spans="2:13" s="7" customFormat="1" ht="13.5">
      <c r="B1983" s="30"/>
      <c r="C1983" s="30"/>
      <c r="D1983" s="31"/>
      <c r="E1983" s="35"/>
      <c r="F1983" s="130"/>
      <c r="G1983" s="14"/>
      <c r="H1983" s="14"/>
      <c r="I1983" s="14"/>
      <c r="J1983" s="14"/>
      <c r="K1983" s="14"/>
      <c r="L1983" s="14"/>
      <c r="M1983" s="14"/>
    </row>
    <row r="1984" spans="2:13" s="7" customFormat="1" ht="13.5">
      <c r="B1984" s="30"/>
      <c r="C1984" s="30"/>
      <c r="D1984" s="31"/>
      <c r="E1984" s="35"/>
      <c r="F1984" s="130"/>
      <c r="G1984" s="14"/>
      <c r="H1984" s="14"/>
      <c r="I1984" s="14"/>
      <c r="J1984" s="14"/>
      <c r="K1984" s="14"/>
      <c r="L1984" s="14"/>
      <c r="M1984" s="14"/>
    </row>
    <row r="1985" spans="2:13" s="7" customFormat="1" ht="13.5">
      <c r="B1985" s="30"/>
      <c r="C1985" s="30"/>
      <c r="D1985" s="31"/>
      <c r="E1985" s="35"/>
      <c r="F1985" s="130"/>
      <c r="G1985" s="14"/>
      <c r="H1985" s="14"/>
      <c r="I1985" s="14"/>
      <c r="J1985" s="14"/>
      <c r="K1985" s="14"/>
      <c r="L1985" s="14"/>
      <c r="M1985" s="14"/>
    </row>
    <row r="1986" spans="2:13" s="7" customFormat="1" ht="13.5">
      <c r="B1986" s="30"/>
      <c r="C1986" s="30"/>
      <c r="D1986" s="31"/>
      <c r="E1986" s="35"/>
      <c r="F1986" s="130"/>
      <c r="G1986" s="14"/>
      <c r="H1986" s="14"/>
      <c r="I1986" s="14"/>
      <c r="J1986" s="14"/>
      <c r="K1986" s="14"/>
      <c r="L1986" s="14"/>
      <c r="M1986" s="14"/>
    </row>
    <row r="1987" spans="2:13" s="7" customFormat="1" ht="13.5">
      <c r="B1987" s="30"/>
      <c r="C1987" s="30"/>
      <c r="D1987" s="31"/>
      <c r="E1987" s="35"/>
      <c r="F1987" s="130"/>
      <c r="G1987" s="14"/>
      <c r="H1987" s="14"/>
      <c r="I1987" s="14"/>
      <c r="J1987" s="14"/>
      <c r="K1987" s="14"/>
      <c r="L1987" s="14"/>
      <c r="M1987" s="14"/>
    </row>
    <row r="1988" spans="2:13" s="7" customFormat="1" ht="13.5">
      <c r="B1988" s="30"/>
      <c r="C1988" s="30"/>
      <c r="D1988" s="31"/>
      <c r="E1988" s="35"/>
      <c r="F1988" s="130"/>
      <c r="G1988" s="14"/>
      <c r="H1988" s="14"/>
      <c r="I1988" s="14"/>
      <c r="J1988" s="14"/>
      <c r="K1988" s="14"/>
      <c r="L1988" s="14"/>
      <c r="M1988" s="14"/>
    </row>
    <row r="1989" spans="2:13" s="7" customFormat="1" ht="13.5">
      <c r="B1989" s="30"/>
      <c r="C1989" s="30"/>
      <c r="D1989" s="31"/>
      <c r="E1989" s="35"/>
      <c r="F1989" s="130"/>
      <c r="G1989" s="14"/>
      <c r="H1989" s="14"/>
      <c r="I1989" s="14"/>
      <c r="J1989" s="14"/>
      <c r="K1989" s="14"/>
      <c r="L1989" s="14"/>
      <c r="M1989" s="14"/>
    </row>
    <row r="1990" spans="2:13" s="7" customFormat="1" ht="13.5">
      <c r="B1990" s="30"/>
      <c r="C1990" s="30"/>
      <c r="D1990" s="31"/>
      <c r="E1990" s="35"/>
      <c r="F1990" s="130"/>
      <c r="G1990" s="14"/>
      <c r="H1990" s="14"/>
      <c r="I1990" s="14"/>
      <c r="J1990" s="14"/>
      <c r="K1990" s="14"/>
      <c r="L1990" s="14"/>
      <c r="M1990" s="14"/>
    </row>
    <row r="1991" spans="2:13" s="7" customFormat="1" ht="13.5">
      <c r="B1991" s="30"/>
      <c r="C1991" s="30"/>
      <c r="D1991" s="31"/>
      <c r="E1991" s="35"/>
      <c r="F1991" s="130"/>
      <c r="G1991" s="14"/>
      <c r="H1991" s="14"/>
      <c r="I1991" s="14"/>
      <c r="J1991" s="14"/>
      <c r="K1991" s="14"/>
      <c r="L1991" s="14"/>
      <c r="M1991" s="14"/>
    </row>
    <row r="1992" spans="2:13" s="7" customFormat="1" ht="13.5">
      <c r="B1992" s="30"/>
      <c r="C1992" s="30"/>
      <c r="D1992" s="31"/>
      <c r="E1992" s="35"/>
      <c r="F1992" s="130"/>
      <c r="G1992" s="14"/>
      <c r="H1992" s="14"/>
      <c r="I1992" s="14"/>
      <c r="J1992" s="14"/>
      <c r="K1992" s="14"/>
      <c r="L1992" s="14"/>
      <c r="M1992" s="14"/>
    </row>
    <row r="1993" spans="2:13" s="7" customFormat="1" ht="13.5">
      <c r="B1993" s="30"/>
      <c r="C1993" s="30"/>
      <c r="D1993" s="31"/>
      <c r="E1993" s="35"/>
      <c r="F1993" s="130"/>
      <c r="G1993" s="14"/>
      <c r="H1993" s="14"/>
      <c r="I1993" s="14"/>
      <c r="J1993" s="14"/>
      <c r="K1993" s="14"/>
      <c r="L1993" s="14"/>
      <c r="M1993" s="14"/>
    </row>
    <row r="1994" spans="2:13" s="7" customFormat="1" ht="13.5">
      <c r="B1994" s="30"/>
      <c r="C1994" s="30"/>
      <c r="D1994" s="31"/>
      <c r="E1994" s="35"/>
      <c r="F1994" s="130"/>
      <c r="G1994" s="14"/>
      <c r="H1994" s="14"/>
      <c r="I1994" s="14"/>
      <c r="J1994" s="14"/>
      <c r="K1994" s="14"/>
      <c r="L1994" s="14"/>
      <c r="M1994" s="14"/>
    </row>
    <row r="1995" spans="2:13" s="7" customFormat="1" ht="13.5">
      <c r="B1995" s="30"/>
      <c r="C1995" s="30"/>
      <c r="D1995" s="31"/>
      <c r="E1995" s="35"/>
      <c r="F1995" s="130"/>
      <c r="G1995" s="14"/>
      <c r="H1995" s="14"/>
      <c r="I1995" s="14"/>
      <c r="J1995" s="14"/>
      <c r="K1995" s="14"/>
      <c r="L1995" s="14"/>
      <c r="M1995" s="14"/>
    </row>
    <row r="1996" spans="2:13" s="7" customFormat="1" ht="13.5">
      <c r="B1996" s="30"/>
      <c r="C1996" s="30"/>
      <c r="D1996" s="31"/>
      <c r="E1996" s="35"/>
      <c r="F1996" s="130"/>
      <c r="G1996" s="14"/>
      <c r="H1996" s="14"/>
      <c r="I1996" s="14"/>
      <c r="J1996" s="14"/>
      <c r="K1996" s="14"/>
      <c r="L1996" s="14"/>
      <c r="M1996" s="14"/>
    </row>
    <row r="1997" spans="2:13" s="7" customFormat="1" ht="13.5">
      <c r="B1997" s="30"/>
      <c r="C1997" s="30"/>
      <c r="D1997" s="31"/>
      <c r="E1997" s="35"/>
      <c r="F1997" s="130"/>
      <c r="G1997" s="14"/>
      <c r="H1997" s="14"/>
      <c r="I1997" s="14"/>
      <c r="J1997" s="14"/>
      <c r="K1997" s="14"/>
      <c r="L1997" s="14"/>
      <c r="M1997" s="14"/>
    </row>
    <row r="1998" spans="2:13" s="7" customFormat="1" ht="13.5">
      <c r="B1998" s="30"/>
      <c r="C1998" s="30"/>
      <c r="D1998" s="31"/>
      <c r="E1998" s="35"/>
      <c r="F1998" s="130"/>
      <c r="G1998" s="14"/>
      <c r="H1998" s="14"/>
      <c r="I1998" s="14"/>
      <c r="J1998" s="14"/>
      <c r="K1998" s="14"/>
      <c r="L1998" s="14"/>
      <c r="M1998" s="14"/>
    </row>
    <row r="1999" spans="2:13" s="7" customFormat="1" ht="13.5">
      <c r="B1999" s="30"/>
      <c r="C1999" s="30"/>
      <c r="D1999" s="31"/>
      <c r="E1999" s="35"/>
      <c r="F1999" s="130"/>
      <c r="G1999" s="14"/>
      <c r="H1999" s="14"/>
      <c r="I1999" s="14"/>
      <c r="J1999" s="14"/>
      <c r="K1999" s="14"/>
      <c r="L1999" s="14"/>
      <c r="M1999" s="14"/>
    </row>
    <row r="2000" spans="2:13" s="7" customFormat="1" ht="13.5">
      <c r="B2000" s="30"/>
      <c r="C2000" s="30"/>
      <c r="D2000" s="31"/>
      <c r="E2000" s="35"/>
      <c r="F2000" s="130"/>
      <c r="G2000" s="14"/>
      <c r="H2000" s="14"/>
      <c r="I2000" s="14"/>
      <c r="J2000" s="14"/>
      <c r="K2000" s="14"/>
      <c r="L2000" s="14"/>
      <c r="M2000" s="14"/>
    </row>
    <row r="2001" spans="2:13" s="7" customFormat="1" ht="13.5">
      <c r="B2001" s="30"/>
      <c r="C2001" s="30"/>
      <c r="D2001" s="31"/>
      <c r="E2001" s="35"/>
      <c r="F2001" s="130"/>
      <c r="G2001" s="14"/>
      <c r="H2001" s="14"/>
      <c r="I2001" s="14"/>
      <c r="J2001" s="14"/>
      <c r="K2001" s="14"/>
      <c r="L2001" s="14"/>
      <c r="M2001" s="14"/>
    </row>
    <row r="2002" spans="2:13" s="7" customFormat="1" ht="13.5">
      <c r="B2002" s="30"/>
      <c r="C2002" s="30"/>
      <c r="D2002" s="31"/>
      <c r="E2002" s="35"/>
      <c r="F2002" s="130"/>
      <c r="G2002" s="14"/>
      <c r="H2002" s="14"/>
      <c r="I2002" s="14"/>
      <c r="J2002" s="14"/>
      <c r="K2002" s="14"/>
      <c r="L2002" s="14"/>
      <c r="M2002" s="14"/>
    </row>
    <row r="2003" spans="2:13" s="7" customFormat="1" ht="13.5">
      <c r="B2003" s="30"/>
      <c r="C2003" s="30"/>
      <c r="D2003" s="31"/>
      <c r="E2003" s="35"/>
      <c r="F2003" s="130"/>
      <c r="G2003" s="14"/>
      <c r="H2003" s="14"/>
      <c r="I2003" s="14"/>
      <c r="J2003" s="14"/>
      <c r="K2003" s="14"/>
      <c r="L2003" s="14"/>
      <c r="M2003" s="14"/>
    </row>
    <row r="2004" spans="2:13" s="7" customFormat="1" ht="13.5">
      <c r="B2004" s="30"/>
      <c r="C2004" s="30"/>
      <c r="D2004" s="31"/>
      <c r="E2004" s="35"/>
      <c r="F2004" s="130"/>
      <c r="G2004" s="14"/>
      <c r="H2004" s="14"/>
      <c r="I2004" s="14"/>
      <c r="J2004" s="14"/>
      <c r="K2004" s="14"/>
      <c r="L2004" s="14"/>
      <c r="M2004" s="14"/>
    </row>
    <row r="2005" spans="2:13" s="7" customFormat="1" ht="13.5">
      <c r="B2005" s="30"/>
      <c r="C2005" s="30"/>
      <c r="D2005" s="31"/>
      <c r="E2005" s="35"/>
      <c r="F2005" s="130"/>
      <c r="G2005" s="14"/>
      <c r="H2005" s="14"/>
      <c r="I2005" s="14"/>
      <c r="J2005" s="14"/>
      <c r="K2005" s="14"/>
      <c r="L2005" s="14"/>
      <c r="M2005" s="14"/>
    </row>
    <row r="2006" spans="2:13" s="7" customFormat="1" ht="13.5">
      <c r="B2006" s="30"/>
      <c r="C2006" s="30"/>
      <c r="D2006" s="31"/>
      <c r="E2006" s="35"/>
      <c r="F2006" s="130"/>
      <c r="G2006" s="14"/>
      <c r="H2006" s="14"/>
      <c r="I2006" s="14"/>
      <c r="J2006" s="14"/>
      <c r="K2006" s="14"/>
      <c r="L2006" s="14"/>
      <c r="M2006" s="14"/>
    </row>
    <row r="2007" spans="2:13" s="7" customFormat="1" ht="13.5">
      <c r="B2007" s="30"/>
      <c r="C2007" s="30"/>
      <c r="D2007" s="31"/>
      <c r="E2007" s="35"/>
      <c r="F2007" s="130"/>
      <c r="G2007" s="14"/>
      <c r="H2007" s="14"/>
      <c r="I2007" s="14"/>
      <c r="J2007" s="14"/>
      <c r="K2007" s="14"/>
      <c r="L2007" s="14"/>
      <c r="M2007" s="14"/>
    </row>
    <row r="2008" spans="2:13" s="7" customFormat="1" ht="13.5">
      <c r="B2008" s="30"/>
      <c r="C2008" s="30"/>
      <c r="D2008" s="31"/>
      <c r="E2008" s="35"/>
      <c r="F2008" s="130"/>
      <c r="G2008" s="14"/>
      <c r="H2008" s="14"/>
      <c r="I2008" s="14"/>
      <c r="J2008" s="14"/>
      <c r="K2008" s="14"/>
      <c r="L2008" s="14"/>
      <c r="M2008" s="14"/>
    </row>
    <row r="2009" spans="2:13" s="7" customFormat="1" ht="13.5">
      <c r="B2009" s="30"/>
      <c r="C2009" s="30"/>
      <c r="D2009" s="31"/>
      <c r="E2009" s="35"/>
      <c r="F2009" s="130"/>
      <c r="G2009" s="14"/>
      <c r="H2009" s="14"/>
      <c r="I2009" s="14"/>
      <c r="J2009" s="14"/>
      <c r="K2009" s="14"/>
      <c r="L2009" s="14"/>
      <c r="M2009" s="14"/>
    </row>
    <row r="2010" spans="2:13" s="7" customFormat="1" ht="13.5">
      <c r="B2010" s="30"/>
      <c r="C2010" s="30"/>
      <c r="D2010" s="31"/>
      <c r="E2010" s="35"/>
      <c r="F2010" s="130"/>
      <c r="G2010" s="14"/>
      <c r="H2010" s="14"/>
      <c r="I2010" s="14"/>
      <c r="J2010" s="14"/>
      <c r="K2010" s="14"/>
      <c r="L2010" s="14"/>
      <c r="M2010" s="14"/>
    </row>
    <row r="2011" spans="2:13" s="7" customFormat="1" ht="13.5">
      <c r="B2011" s="30"/>
      <c r="C2011" s="30"/>
      <c r="D2011" s="31"/>
      <c r="E2011" s="35"/>
      <c r="F2011" s="130"/>
      <c r="G2011" s="14"/>
      <c r="H2011" s="14"/>
      <c r="I2011" s="14"/>
      <c r="J2011" s="14"/>
      <c r="K2011" s="14"/>
      <c r="L2011" s="14"/>
      <c r="M2011" s="14"/>
    </row>
    <row r="2012" spans="2:13" s="7" customFormat="1" ht="13.5">
      <c r="B2012" s="30"/>
      <c r="C2012" s="30"/>
      <c r="D2012" s="31"/>
      <c r="E2012" s="35"/>
      <c r="F2012" s="130"/>
      <c r="G2012" s="14"/>
      <c r="H2012" s="14"/>
      <c r="I2012" s="14"/>
      <c r="J2012" s="14"/>
      <c r="K2012" s="14"/>
      <c r="L2012" s="14"/>
      <c r="M2012" s="14"/>
    </row>
    <row r="2013" spans="2:13" s="7" customFormat="1" ht="13.5">
      <c r="B2013" s="30"/>
      <c r="C2013" s="30"/>
      <c r="D2013" s="31"/>
      <c r="E2013" s="35"/>
      <c r="F2013" s="130"/>
      <c r="G2013" s="14"/>
      <c r="H2013" s="14"/>
      <c r="I2013" s="14"/>
      <c r="J2013" s="14"/>
      <c r="K2013" s="14"/>
      <c r="L2013" s="14"/>
      <c r="M2013" s="14"/>
    </row>
    <row r="2014" spans="2:13" s="7" customFormat="1" ht="13.5">
      <c r="B2014" s="30"/>
      <c r="C2014" s="30"/>
      <c r="D2014" s="31"/>
      <c r="E2014" s="35"/>
      <c r="F2014" s="130"/>
      <c r="G2014" s="14"/>
      <c r="H2014" s="14"/>
      <c r="I2014" s="14"/>
      <c r="J2014" s="14"/>
      <c r="K2014" s="14"/>
      <c r="L2014" s="14"/>
      <c r="M2014" s="14"/>
    </row>
    <row r="2015" spans="2:13" s="7" customFormat="1" ht="13.5">
      <c r="B2015" s="30"/>
      <c r="C2015" s="30"/>
      <c r="D2015" s="31"/>
      <c r="E2015" s="35"/>
      <c r="F2015" s="130"/>
      <c r="G2015" s="14"/>
      <c r="H2015" s="14"/>
      <c r="I2015" s="14"/>
      <c r="J2015" s="14"/>
      <c r="K2015" s="14"/>
      <c r="L2015" s="14"/>
      <c r="M2015" s="14"/>
    </row>
    <row r="2016" spans="2:13" s="7" customFormat="1" ht="13.5">
      <c r="B2016" s="30"/>
      <c r="C2016" s="30"/>
      <c r="D2016" s="31"/>
      <c r="E2016" s="35"/>
      <c r="F2016" s="130"/>
      <c r="G2016" s="14"/>
      <c r="H2016" s="14"/>
      <c r="I2016" s="14"/>
      <c r="J2016" s="14"/>
      <c r="K2016" s="14"/>
      <c r="L2016" s="14"/>
      <c r="M2016" s="14"/>
    </row>
    <row r="2017" spans="2:13" s="7" customFormat="1" ht="13.5">
      <c r="B2017" s="30"/>
      <c r="C2017" s="30"/>
      <c r="D2017" s="31"/>
      <c r="E2017" s="35"/>
      <c r="F2017" s="130"/>
      <c r="G2017" s="14"/>
      <c r="H2017" s="14"/>
      <c r="I2017" s="14"/>
      <c r="J2017" s="14"/>
      <c r="K2017" s="14"/>
      <c r="L2017" s="14"/>
      <c r="M2017" s="14"/>
    </row>
    <row r="2018" spans="2:13" s="7" customFormat="1" ht="13.5">
      <c r="B2018" s="30"/>
      <c r="C2018" s="30"/>
      <c r="D2018" s="31"/>
      <c r="E2018" s="35"/>
      <c r="F2018" s="130"/>
      <c r="G2018" s="14"/>
      <c r="H2018" s="14"/>
      <c r="I2018" s="14"/>
      <c r="J2018" s="14"/>
      <c r="K2018" s="14"/>
      <c r="L2018" s="14"/>
      <c r="M2018" s="14"/>
    </row>
    <row r="2019" spans="2:13" s="7" customFormat="1" ht="13.5">
      <c r="B2019" s="30"/>
      <c r="C2019" s="30"/>
      <c r="D2019" s="31"/>
      <c r="E2019" s="35"/>
      <c r="F2019" s="130"/>
      <c r="G2019" s="14"/>
      <c r="H2019" s="14"/>
      <c r="I2019" s="14"/>
      <c r="J2019" s="14"/>
      <c r="K2019" s="14"/>
      <c r="L2019" s="14"/>
      <c r="M2019" s="14"/>
    </row>
    <row r="2020" spans="2:13" s="7" customFormat="1" ht="13.5">
      <c r="B2020" s="30"/>
      <c r="C2020" s="30"/>
      <c r="D2020" s="31"/>
      <c r="E2020" s="35"/>
      <c r="F2020" s="130"/>
      <c r="G2020" s="14"/>
      <c r="H2020" s="14"/>
      <c r="I2020" s="14"/>
      <c r="J2020" s="14"/>
      <c r="K2020" s="14"/>
      <c r="L2020" s="14"/>
      <c r="M2020" s="14"/>
    </row>
    <row r="2021" spans="2:13" s="7" customFormat="1" ht="13.5">
      <c r="B2021" s="30"/>
      <c r="C2021" s="30"/>
      <c r="D2021" s="31"/>
      <c r="E2021" s="35"/>
      <c r="F2021" s="130"/>
      <c r="G2021" s="14"/>
      <c r="H2021" s="14"/>
      <c r="I2021" s="14"/>
      <c r="J2021" s="14"/>
      <c r="K2021" s="14"/>
      <c r="L2021" s="14"/>
      <c r="M2021" s="14"/>
    </row>
    <row r="2022" spans="2:13" s="7" customFormat="1" ht="13.5">
      <c r="B2022" s="30"/>
      <c r="C2022" s="30"/>
      <c r="D2022" s="31"/>
      <c r="E2022" s="35"/>
      <c r="F2022" s="130"/>
      <c r="G2022" s="14"/>
      <c r="H2022" s="14"/>
      <c r="I2022" s="14"/>
      <c r="J2022" s="14"/>
      <c r="K2022" s="14"/>
      <c r="L2022" s="14"/>
      <c r="M2022" s="14"/>
    </row>
    <row r="2023" spans="2:13" s="7" customFormat="1" ht="13.5">
      <c r="B2023" s="30"/>
      <c r="C2023" s="30"/>
      <c r="D2023" s="31"/>
      <c r="E2023" s="35"/>
      <c r="F2023" s="130"/>
      <c r="G2023" s="14"/>
      <c r="H2023" s="14"/>
      <c r="I2023" s="14"/>
      <c r="J2023" s="14"/>
      <c r="K2023" s="14"/>
      <c r="L2023" s="14"/>
      <c r="M2023" s="14"/>
    </row>
    <row r="2024" spans="2:13" s="7" customFormat="1" ht="13.5">
      <c r="B2024" s="30"/>
      <c r="C2024" s="30"/>
      <c r="D2024" s="31"/>
      <c r="E2024" s="35"/>
      <c r="F2024" s="130"/>
      <c r="G2024" s="14"/>
      <c r="H2024" s="14"/>
      <c r="I2024" s="14"/>
      <c r="J2024" s="14"/>
      <c r="K2024" s="14"/>
      <c r="L2024" s="14"/>
      <c r="M2024" s="14"/>
    </row>
    <row r="2025" spans="2:13" s="7" customFormat="1" ht="13.5">
      <c r="B2025" s="30"/>
      <c r="C2025" s="30"/>
      <c r="D2025" s="31"/>
      <c r="E2025" s="35"/>
      <c r="F2025" s="130"/>
      <c r="G2025" s="14"/>
      <c r="H2025" s="14"/>
      <c r="I2025" s="14"/>
      <c r="J2025" s="14"/>
      <c r="K2025" s="14"/>
      <c r="L2025" s="14"/>
      <c r="M2025" s="14"/>
    </row>
    <row r="2026" spans="2:13" s="7" customFormat="1" ht="13.5">
      <c r="B2026" s="30"/>
      <c r="C2026" s="30"/>
      <c r="D2026" s="31"/>
      <c r="E2026" s="35"/>
      <c r="F2026" s="130"/>
      <c r="G2026" s="14"/>
      <c r="H2026" s="14"/>
      <c r="I2026" s="14"/>
      <c r="J2026" s="14"/>
      <c r="K2026" s="14"/>
      <c r="L2026" s="14"/>
      <c r="M2026" s="14"/>
    </row>
    <row r="2027" spans="2:13" s="7" customFormat="1" ht="13.5">
      <c r="B2027" s="30"/>
      <c r="C2027" s="30"/>
      <c r="D2027" s="31"/>
      <c r="E2027" s="35"/>
      <c r="F2027" s="130"/>
      <c r="G2027" s="14"/>
      <c r="H2027" s="14"/>
      <c r="I2027" s="14"/>
      <c r="J2027" s="14"/>
      <c r="K2027" s="14"/>
      <c r="L2027" s="14"/>
      <c r="M2027" s="14"/>
    </row>
    <row r="2028" spans="2:13" s="7" customFormat="1" ht="13.5">
      <c r="B2028" s="30"/>
      <c r="C2028" s="30"/>
      <c r="D2028" s="31"/>
      <c r="E2028" s="35"/>
      <c r="F2028" s="130"/>
      <c r="G2028" s="14"/>
      <c r="H2028" s="14"/>
      <c r="I2028" s="14"/>
      <c r="J2028" s="14"/>
      <c r="K2028" s="14"/>
      <c r="L2028" s="14"/>
      <c r="M2028" s="14"/>
    </row>
    <row r="2029" spans="2:13" s="7" customFormat="1" ht="13.5">
      <c r="B2029" s="30"/>
      <c r="C2029" s="30"/>
      <c r="D2029" s="31"/>
      <c r="E2029" s="35"/>
      <c r="F2029" s="130"/>
      <c r="G2029" s="14"/>
      <c r="H2029" s="14"/>
      <c r="I2029" s="14"/>
      <c r="J2029" s="14"/>
      <c r="K2029" s="14"/>
      <c r="L2029" s="14"/>
      <c r="M2029" s="14"/>
    </row>
    <row r="2030" spans="2:13" s="7" customFormat="1" ht="13.5">
      <c r="B2030" s="30"/>
      <c r="C2030" s="30"/>
      <c r="D2030" s="31"/>
      <c r="E2030" s="35"/>
      <c r="F2030" s="130"/>
      <c r="G2030" s="14"/>
      <c r="H2030" s="14"/>
      <c r="I2030" s="14"/>
      <c r="J2030" s="14"/>
      <c r="K2030" s="14"/>
      <c r="L2030" s="14"/>
      <c r="M2030" s="14"/>
    </row>
    <row r="2031" spans="2:13" s="7" customFormat="1" ht="13.5">
      <c r="B2031" s="30"/>
      <c r="C2031" s="30"/>
      <c r="D2031" s="31"/>
      <c r="E2031" s="35"/>
      <c r="F2031" s="130"/>
      <c r="G2031" s="14"/>
      <c r="H2031" s="14"/>
      <c r="I2031" s="14"/>
      <c r="J2031" s="14"/>
      <c r="K2031" s="14"/>
      <c r="L2031" s="14"/>
      <c r="M2031" s="14"/>
    </row>
    <row r="2032" spans="2:13" s="7" customFormat="1" ht="13.5">
      <c r="B2032" s="30"/>
      <c r="C2032" s="30"/>
      <c r="D2032" s="31"/>
      <c r="E2032" s="35"/>
      <c r="F2032" s="130"/>
      <c r="G2032" s="14"/>
      <c r="H2032" s="14"/>
      <c r="I2032" s="14"/>
      <c r="J2032" s="14"/>
      <c r="K2032" s="14"/>
      <c r="L2032" s="14"/>
      <c r="M2032" s="14"/>
    </row>
    <row r="2033" spans="2:13" s="7" customFormat="1" ht="13.5">
      <c r="B2033" s="30"/>
      <c r="C2033" s="30"/>
      <c r="D2033" s="31"/>
      <c r="E2033" s="35"/>
      <c r="F2033" s="130"/>
      <c r="G2033" s="14"/>
      <c r="H2033" s="14"/>
      <c r="I2033" s="14"/>
      <c r="J2033" s="14"/>
      <c r="K2033" s="14"/>
      <c r="L2033" s="14"/>
      <c r="M2033" s="14"/>
    </row>
    <row r="2034" spans="2:13" s="7" customFormat="1" ht="13.5">
      <c r="B2034" s="30"/>
      <c r="C2034" s="30"/>
      <c r="D2034" s="31"/>
      <c r="E2034" s="35"/>
      <c r="F2034" s="130"/>
      <c r="G2034" s="14"/>
      <c r="H2034" s="14"/>
      <c r="I2034" s="14"/>
      <c r="J2034" s="14"/>
      <c r="K2034" s="14"/>
      <c r="L2034" s="14"/>
      <c r="M2034" s="14"/>
    </row>
    <row r="2035" spans="2:13" s="7" customFormat="1" ht="13.5">
      <c r="B2035" s="30"/>
      <c r="C2035" s="30"/>
      <c r="D2035" s="31"/>
      <c r="E2035" s="35"/>
      <c r="F2035" s="130"/>
      <c r="G2035" s="14"/>
      <c r="H2035" s="14"/>
      <c r="I2035" s="14"/>
      <c r="J2035" s="14"/>
      <c r="K2035" s="14"/>
      <c r="L2035" s="14"/>
      <c r="M2035" s="14"/>
    </row>
    <row r="2036" spans="2:13" s="7" customFormat="1" ht="13.5">
      <c r="B2036" s="30"/>
      <c r="C2036" s="30"/>
      <c r="D2036" s="31"/>
      <c r="E2036" s="35"/>
      <c r="F2036" s="130"/>
      <c r="G2036" s="14"/>
      <c r="H2036" s="14"/>
      <c r="I2036" s="14"/>
      <c r="J2036" s="14"/>
      <c r="K2036" s="14"/>
      <c r="L2036" s="14"/>
      <c r="M2036" s="14"/>
    </row>
    <row r="2037" spans="2:13" s="7" customFormat="1" ht="13.5">
      <c r="B2037" s="30"/>
      <c r="C2037" s="30"/>
      <c r="D2037" s="31"/>
      <c r="E2037" s="35"/>
      <c r="F2037" s="130"/>
      <c r="G2037" s="14"/>
      <c r="H2037" s="14"/>
      <c r="I2037" s="14"/>
      <c r="J2037" s="14"/>
      <c r="K2037" s="14"/>
      <c r="L2037" s="14"/>
      <c r="M2037" s="14"/>
    </row>
    <row r="2038" spans="2:13" s="7" customFormat="1" ht="13.5">
      <c r="B2038" s="30"/>
      <c r="C2038" s="30"/>
      <c r="D2038" s="31"/>
      <c r="E2038" s="35"/>
      <c r="F2038" s="130"/>
      <c r="G2038" s="14"/>
      <c r="H2038" s="14"/>
      <c r="I2038" s="14"/>
      <c r="J2038" s="14"/>
      <c r="K2038" s="14"/>
      <c r="L2038" s="14"/>
      <c r="M2038" s="14"/>
    </row>
    <row r="2039" spans="2:13" s="7" customFormat="1" ht="13.5">
      <c r="B2039" s="30"/>
      <c r="C2039" s="30"/>
      <c r="D2039" s="31"/>
      <c r="E2039" s="35"/>
      <c r="F2039" s="130"/>
      <c r="G2039" s="14"/>
      <c r="H2039" s="14"/>
      <c r="I2039" s="14"/>
      <c r="J2039" s="14"/>
      <c r="K2039" s="14"/>
      <c r="L2039" s="14"/>
      <c r="M2039" s="14"/>
    </row>
    <row r="2040" spans="2:13" s="7" customFormat="1" ht="13.5">
      <c r="B2040" s="30"/>
      <c r="C2040" s="30"/>
      <c r="D2040" s="31"/>
      <c r="E2040" s="35"/>
      <c r="F2040" s="130"/>
      <c r="G2040" s="14"/>
      <c r="H2040" s="14"/>
      <c r="I2040" s="14"/>
      <c r="J2040" s="14"/>
      <c r="K2040" s="14"/>
      <c r="L2040" s="14"/>
      <c r="M2040" s="14"/>
    </row>
    <row r="2041" spans="2:13" s="7" customFormat="1" ht="13.5">
      <c r="B2041" s="30"/>
      <c r="C2041" s="30"/>
      <c r="D2041" s="31"/>
      <c r="E2041" s="35"/>
      <c r="F2041" s="130"/>
      <c r="G2041" s="14"/>
      <c r="H2041" s="14"/>
      <c r="I2041" s="14"/>
      <c r="J2041" s="14"/>
      <c r="K2041" s="14"/>
      <c r="L2041" s="14"/>
      <c r="M2041" s="14"/>
    </row>
    <row r="2042" spans="2:13" s="7" customFormat="1" ht="13.5">
      <c r="B2042" s="30"/>
      <c r="C2042" s="30"/>
      <c r="D2042" s="31"/>
      <c r="E2042" s="35"/>
      <c r="F2042" s="130"/>
      <c r="G2042" s="14"/>
      <c r="H2042" s="14"/>
      <c r="I2042" s="14"/>
      <c r="J2042" s="14"/>
      <c r="K2042" s="14"/>
      <c r="L2042" s="14"/>
      <c r="M2042" s="14"/>
    </row>
    <row r="2043" spans="2:13" s="7" customFormat="1" ht="13.5">
      <c r="B2043" s="30"/>
      <c r="C2043" s="30"/>
      <c r="D2043" s="31"/>
      <c r="E2043" s="35"/>
      <c r="F2043" s="130"/>
      <c r="G2043" s="14"/>
      <c r="H2043" s="14"/>
      <c r="I2043" s="14"/>
      <c r="J2043" s="14"/>
      <c r="K2043" s="14"/>
      <c r="L2043" s="14"/>
      <c r="M2043" s="14"/>
    </row>
    <row r="2044" spans="2:13" s="7" customFormat="1" ht="13.5">
      <c r="B2044" s="30"/>
      <c r="C2044" s="30"/>
      <c r="D2044" s="31"/>
      <c r="E2044" s="35"/>
      <c r="F2044" s="130"/>
      <c r="G2044" s="14"/>
      <c r="H2044" s="14"/>
      <c r="I2044" s="14"/>
      <c r="J2044" s="14"/>
      <c r="K2044" s="14"/>
      <c r="L2044" s="14"/>
      <c r="M2044" s="14"/>
    </row>
    <row r="2045" spans="2:13" s="7" customFormat="1" ht="13.5">
      <c r="B2045" s="30"/>
      <c r="C2045" s="30"/>
      <c r="D2045" s="31"/>
      <c r="E2045" s="35"/>
      <c r="F2045" s="130"/>
      <c r="G2045" s="14"/>
      <c r="H2045" s="14"/>
      <c r="I2045" s="14"/>
      <c r="J2045" s="14"/>
      <c r="K2045" s="14"/>
      <c r="L2045" s="14"/>
      <c r="M2045" s="14"/>
    </row>
    <row r="2046" spans="2:13" s="7" customFormat="1" ht="13.5">
      <c r="B2046" s="30"/>
      <c r="C2046" s="30"/>
      <c r="D2046" s="31"/>
      <c r="E2046" s="35"/>
      <c r="F2046" s="130"/>
      <c r="G2046" s="14"/>
      <c r="H2046" s="14"/>
      <c r="I2046" s="14"/>
      <c r="J2046" s="14"/>
      <c r="K2046" s="14"/>
      <c r="L2046" s="14"/>
      <c r="M2046" s="14"/>
    </row>
    <row r="2047" spans="2:13" s="7" customFormat="1" ht="13.5">
      <c r="B2047" s="30"/>
      <c r="C2047" s="30"/>
      <c r="D2047" s="31"/>
      <c r="E2047" s="35"/>
      <c r="F2047" s="130"/>
      <c r="G2047" s="14"/>
      <c r="H2047" s="14"/>
      <c r="I2047" s="14"/>
      <c r="J2047" s="14"/>
      <c r="K2047" s="14"/>
      <c r="L2047" s="14"/>
      <c r="M2047" s="14"/>
    </row>
    <row r="2048" spans="2:13" s="7" customFormat="1" ht="13.5">
      <c r="B2048" s="30"/>
      <c r="C2048" s="30"/>
      <c r="D2048" s="31"/>
      <c r="E2048" s="35"/>
      <c r="F2048" s="130"/>
      <c r="G2048" s="14"/>
      <c r="H2048" s="14"/>
      <c r="I2048" s="14"/>
      <c r="J2048" s="14"/>
      <c r="K2048" s="14"/>
      <c r="L2048" s="14"/>
      <c r="M2048" s="14"/>
    </row>
    <row r="2049" spans="2:13" s="7" customFormat="1" ht="13.5">
      <c r="B2049" s="30"/>
      <c r="C2049" s="30"/>
      <c r="D2049" s="31"/>
      <c r="E2049" s="35"/>
      <c r="F2049" s="130"/>
      <c r="G2049" s="14"/>
      <c r="H2049" s="14"/>
      <c r="I2049" s="14"/>
      <c r="J2049" s="14"/>
      <c r="K2049" s="14"/>
      <c r="L2049" s="14"/>
      <c r="M2049" s="14"/>
    </row>
    <row r="2050" spans="2:13" s="7" customFormat="1" ht="13.5">
      <c r="B2050" s="30"/>
      <c r="C2050" s="30"/>
      <c r="D2050" s="31"/>
      <c r="E2050" s="35"/>
      <c r="F2050" s="130"/>
      <c r="G2050" s="14"/>
      <c r="H2050" s="14"/>
      <c r="I2050" s="14"/>
      <c r="J2050" s="14"/>
      <c r="K2050" s="14"/>
      <c r="L2050" s="14"/>
      <c r="M2050" s="14"/>
    </row>
    <row r="2051" spans="2:13" s="7" customFormat="1" ht="13.5">
      <c r="B2051" s="30"/>
      <c r="C2051" s="30"/>
      <c r="D2051" s="31"/>
      <c r="E2051" s="35"/>
      <c r="F2051" s="130"/>
      <c r="G2051" s="14"/>
      <c r="H2051" s="14"/>
      <c r="I2051" s="14"/>
      <c r="J2051" s="14"/>
      <c r="K2051" s="14"/>
      <c r="L2051" s="14"/>
      <c r="M2051" s="14"/>
    </row>
    <row r="2052" spans="2:13" s="7" customFormat="1" ht="13.5">
      <c r="B2052" s="30"/>
      <c r="C2052" s="30"/>
      <c r="D2052" s="31"/>
      <c r="E2052" s="35"/>
      <c r="F2052" s="130"/>
      <c r="G2052" s="14"/>
      <c r="H2052" s="14"/>
      <c r="I2052" s="14"/>
      <c r="J2052" s="14"/>
      <c r="K2052" s="14"/>
      <c r="L2052" s="14"/>
      <c r="M2052" s="14"/>
    </row>
    <row r="2053" spans="2:13" s="7" customFormat="1" ht="13.5">
      <c r="B2053" s="30"/>
      <c r="C2053" s="30"/>
      <c r="D2053" s="31"/>
      <c r="E2053" s="35"/>
      <c r="F2053" s="130"/>
      <c r="G2053" s="14"/>
      <c r="H2053" s="14"/>
      <c r="I2053" s="14"/>
      <c r="J2053" s="14"/>
      <c r="K2053" s="14"/>
      <c r="L2053" s="14"/>
      <c r="M2053" s="14"/>
    </row>
    <row r="2054" spans="2:13" s="7" customFormat="1" ht="13.5">
      <c r="B2054" s="30"/>
      <c r="C2054" s="30"/>
      <c r="D2054" s="31"/>
      <c r="E2054" s="35"/>
      <c r="F2054" s="130"/>
      <c r="G2054" s="14"/>
      <c r="H2054" s="14"/>
      <c r="I2054" s="14"/>
      <c r="J2054" s="14"/>
      <c r="K2054" s="14"/>
      <c r="L2054" s="14"/>
      <c r="M2054" s="14"/>
    </row>
    <row r="2055" spans="2:13" s="7" customFormat="1" ht="13.5">
      <c r="B2055" s="30"/>
      <c r="C2055" s="30"/>
      <c r="D2055" s="31"/>
      <c r="E2055" s="35"/>
      <c r="F2055" s="130"/>
      <c r="G2055" s="14"/>
      <c r="H2055" s="14"/>
      <c r="I2055" s="14"/>
      <c r="J2055" s="14"/>
      <c r="K2055" s="14"/>
      <c r="L2055" s="14"/>
      <c r="M2055" s="14"/>
    </row>
    <row r="2056" spans="2:13" s="7" customFormat="1" ht="13.5">
      <c r="B2056" s="30"/>
      <c r="C2056" s="30"/>
      <c r="D2056" s="31"/>
      <c r="E2056" s="35"/>
      <c r="F2056" s="130"/>
      <c r="G2056" s="14"/>
      <c r="H2056" s="14"/>
      <c r="I2056" s="14"/>
      <c r="J2056" s="14"/>
      <c r="K2056" s="14"/>
      <c r="L2056" s="14"/>
      <c r="M2056" s="14"/>
    </row>
    <row r="2057" spans="2:13" s="7" customFormat="1" ht="13.5">
      <c r="B2057" s="30"/>
      <c r="C2057" s="30"/>
      <c r="D2057" s="31"/>
      <c r="E2057" s="35"/>
      <c r="F2057" s="130"/>
      <c r="G2057" s="14"/>
      <c r="H2057" s="14"/>
      <c r="I2057" s="14"/>
      <c r="J2057" s="14"/>
      <c r="K2057" s="14"/>
      <c r="L2057" s="14"/>
      <c r="M2057" s="14"/>
    </row>
    <row r="2058" spans="2:13" s="7" customFormat="1" ht="13.5">
      <c r="B2058" s="30"/>
      <c r="C2058" s="30"/>
      <c r="D2058" s="31"/>
      <c r="E2058" s="35"/>
      <c r="F2058" s="130"/>
      <c r="G2058" s="14"/>
      <c r="H2058" s="14"/>
      <c r="I2058" s="14"/>
      <c r="J2058" s="14"/>
      <c r="K2058" s="14"/>
      <c r="L2058" s="14"/>
      <c r="M2058" s="14"/>
    </row>
    <row r="2059" spans="2:13" s="7" customFormat="1" ht="13.5">
      <c r="B2059" s="30"/>
      <c r="C2059" s="30"/>
      <c r="D2059" s="31"/>
      <c r="E2059" s="35"/>
      <c r="F2059" s="130"/>
      <c r="G2059" s="14"/>
      <c r="H2059" s="14"/>
      <c r="I2059" s="14"/>
      <c r="J2059" s="14"/>
      <c r="K2059" s="14"/>
      <c r="L2059" s="14"/>
      <c r="M2059" s="14"/>
    </row>
    <row r="2060" spans="2:13" s="7" customFormat="1" ht="13.5">
      <c r="B2060" s="30"/>
      <c r="C2060" s="30"/>
      <c r="D2060" s="31"/>
      <c r="E2060" s="35"/>
      <c r="F2060" s="130"/>
      <c r="G2060" s="14"/>
      <c r="H2060" s="14"/>
      <c r="I2060" s="14"/>
      <c r="J2060" s="14"/>
      <c r="K2060" s="14"/>
      <c r="L2060" s="14"/>
      <c r="M2060" s="14"/>
    </row>
    <row r="2061" spans="2:13" s="7" customFormat="1" ht="13.5">
      <c r="B2061" s="30"/>
      <c r="C2061" s="30"/>
      <c r="D2061" s="31"/>
      <c r="E2061" s="35"/>
      <c r="F2061" s="130"/>
      <c r="G2061" s="14"/>
      <c r="H2061" s="14"/>
      <c r="I2061" s="14"/>
      <c r="J2061" s="14"/>
      <c r="K2061" s="14"/>
      <c r="L2061" s="14"/>
      <c r="M2061" s="14"/>
    </row>
    <row r="2062" spans="2:13" s="7" customFormat="1" ht="13.5">
      <c r="B2062" s="30"/>
      <c r="C2062" s="30"/>
      <c r="D2062" s="31"/>
      <c r="E2062" s="35"/>
      <c r="F2062" s="130"/>
      <c r="G2062" s="14"/>
      <c r="H2062" s="14"/>
      <c r="I2062" s="14"/>
      <c r="J2062" s="14"/>
      <c r="K2062" s="14"/>
      <c r="L2062" s="14"/>
      <c r="M2062" s="14"/>
    </row>
    <row r="2063" spans="2:13" s="7" customFormat="1" ht="13.5">
      <c r="B2063" s="30"/>
      <c r="C2063" s="30"/>
      <c r="D2063" s="31"/>
      <c r="E2063" s="35"/>
      <c r="F2063" s="130"/>
      <c r="G2063" s="14"/>
      <c r="H2063" s="14"/>
      <c r="I2063" s="14"/>
      <c r="J2063" s="14"/>
      <c r="K2063" s="14"/>
      <c r="L2063" s="14"/>
      <c r="M2063" s="14"/>
    </row>
    <row r="2064" spans="2:13" s="7" customFormat="1" ht="13.5">
      <c r="B2064" s="30"/>
      <c r="C2064" s="30"/>
      <c r="D2064" s="31"/>
      <c r="E2064" s="35"/>
      <c r="F2064" s="130"/>
      <c r="G2064" s="14"/>
      <c r="H2064" s="14"/>
      <c r="I2064" s="14"/>
      <c r="J2064" s="14"/>
      <c r="K2064" s="14"/>
      <c r="L2064" s="14"/>
      <c r="M2064" s="14"/>
    </row>
    <row r="2065" spans="2:13" s="7" customFormat="1" ht="13.5">
      <c r="B2065" s="30"/>
      <c r="C2065" s="30"/>
      <c r="D2065" s="31"/>
      <c r="E2065" s="35"/>
      <c r="F2065" s="130"/>
      <c r="G2065" s="14"/>
      <c r="H2065" s="14"/>
      <c r="I2065" s="14"/>
      <c r="J2065" s="14"/>
      <c r="K2065" s="14"/>
      <c r="L2065" s="14"/>
      <c r="M2065" s="14"/>
    </row>
    <row r="2066" spans="2:13" s="7" customFormat="1" ht="13.5">
      <c r="B2066" s="30"/>
      <c r="C2066" s="30"/>
      <c r="D2066" s="31"/>
      <c r="E2066" s="35"/>
      <c r="F2066" s="130"/>
      <c r="G2066" s="14"/>
      <c r="H2066" s="14"/>
      <c r="I2066" s="14"/>
      <c r="J2066" s="14"/>
      <c r="K2066" s="14"/>
      <c r="L2066" s="14"/>
      <c r="M2066" s="14"/>
    </row>
    <row r="2067" spans="2:13" s="7" customFormat="1" ht="13.5">
      <c r="B2067" s="30"/>
      <c r="C2067" s="30"/>
      <c r="D2067" s="31"/>
      <c r="E2067" s="35"/>
      <c r="F2067" s="130"/>
      <c r="G2067" s="14"/>
      <c r="H2067" s="14"/>
      <c r="I2067" s="14"/>
      <c r="J2067" s="14"/>
      <c r="K2067" s="14"/>
      <c r="L2067" s="14"/>
      <c r="M2067" s="14"/>
    </row>
    <row r="2068" spans="2:13" s="7" customFormat="1" ht="13.5">
      <c r="B2068" s="30"/>
      <c r="C2068" s="30"/>
      <c r="D2068" s="31"/>
      <c r="E2068" s="35"/>
      <c r="F2068" s="130"/>
      <c r="G2068" s="14"/>
      <c r="H2068" s="14"/>
      <c r="I2068" s="14"/>
      <c r="J2068" s="14"/>
      <c r="K2068" s="14"/>
      <c r="L2068" s="14"/>
      <c r="M2068" s="14"/>
    </row>
    <row r="2069" spans="2:13" s="7" customFormat="1" ht="13.5">
      <c r="B2069" s="30"/>
      <c r="C2069" s="30"/>
      <c r="D2069" s="31"/>
      <c r="E2069" s="35"/>
      <c r="F2069" s="130"/>
      <c r="G2069" s="14"/>
      <c r="H2069" s="14"/>
      <c r="I2069" s="14"/>
      <c r="J2069" s="14"/>
      <c r="K2069" s="14"/>
      <c r="L2069" s="14"/>
      <c r="M2069" s="14"/>
    </row>
    <row r="2070" spans="2:13" s="7" customFormat="1" ht="13.5">
      <c r="B2070" s="30"/>
      <c r="C2070" s="30"/>
      <c r="D2070" s="31"/>
      <c r="E2070" s="35"/>
      <c r="F2070" s="130"/>
      <c r="G2070" s="14"/>
      <c r="H2070" s="14"/>
      <c r="I2070" s="14"/>
      <c r="J2070" s="14"/>
      <c r="K2070" s="14"/>
      <c r="L2070" s="14"/>
      <c r="M2070" s="14"/>
    </row>
    <row r="2071" spans="2:13" s="7" customFormat="1" ht="13.5">
      <c r="B2071" s="30"/>
      <c r="C2071" s="30"/>
      <c r="D2071" s="31"/>
      <c r="E2071" s="35"/>
      <c r="F2071" s="130"/>
      <c r="G2071" s="14"/>
      <c r="H2071" s="14"/>
      <c r="I2071" s="14"/>
      <c r="J2071" s="14"/>
      <c r="K2071" s="14"/>
      <c r="L2071" s="14"/>
      <c r="M2071" s="14"/>
    </row>
    <row r="2072" spans="2:13" s="7" customFormat="1" ht="13.5">
      <c r="B2072" s="30"/>
      <c r="C2072" s="30"/>
      <c r="D2072" s="31"/>
      <c r="E2072" s="35"/>
      <c r="F2072" s="130"/>
      <c r="G2072" s="14"/>
      <c r="H2072" s="14"/>
      <c r="I2072" s="14"/>
      <c r="J2072" s="14"/>
      <c r="K2072" s="14"/>
      <c r="L2072" s="14"/>
      <c r="M2072" s="14"/>
    </row>
    <row r="2073" spans="2:13" s="7" customFormat="1" ht="13.5">
      <c r="B2073" s="30"/>
      <c r="C2073" s="30"/>
      <c r="D2073" s="31"/>
      <c r="E2073" s="35"/>
      <c r="F2073" s="130"/>
      <c r="G2073" s="14"/>
      <c r="H2073" s="14"/>
      <c r="I2073" s="14"/>
      <c r="J2073" s="14"/>
      <c r="K2073" s="14"/>
      <c r="L2073" s="14"/>
      <c r="M2073" s="14"/>
    </row>
    <row r="2074" spans="2:13" s="7" customFormat="1" ht="13.5">
      <c r="B2074" s="30"/>
      <c r="C2074" s="30"/>
      <c r="D2074" s="31"/>
      <c r="E2074" s="35"/>
      <c r="F2074" s="130"/>
      <c r="G2074" s="14"/>
      <c r="H2074" s="14"/>
      <c r="I2074" s="14"/>
      <c r="J2074" s="14"/>
      <c r="K2074" s="14"/>
      <c r="L2074" s="14"/>
      <c r="M2074" s="14"/>
    </row>
    <row r="2075" spans="2:13" s="7" customFormat="1" ht="13.5">
      <c r="B2075" s="30"/>
      <c r="C2075" s="30"/>
      <c r="D2075" s="31"/>
      <c r="E2075" s="35"/>
      <c r="F2075" s="130"/>
      <c r="G2075" s="14"/>
      <c r="H2075" s="14"/>
      <c r="I2075" s="14"/>
      <c r="J2075" s="14"/>
      <c r="K2075" s="14"/>
      <c r="L2075" s="14"/>
      <c r="M2075" s="14"/>
    </row>
    <row r="2076" spans="2:13" s="7" customFormat="1" ht="13.5">
      <c r="B2076" s="30"/>
      <c r="C2076" s="30"/>
      <c r="D2076" s="31"/>
      <c r="E2076" s="35"/>
      <c r="F2076" s="130"/>
      <c r="G2076" s="14"/>
      <c r="H2076" s="14"/>
      <c r="I2076" s="14"/>
      <c r="J2076" s="14"/>
      <c r="K2076" s="14"/>
      <c r="L2076" s="14"/>
      <c r="M2076" s="14"/>
    </row>
    <row r="2077" spans="2:13" s="7" customFormat="1" ht="13.5">
      <c r="B2077" s="30"/>
      <c r="C2077" s="30"/>
      <c r="D2077" s="31"/>
      <c r="E2077" s="35"/>
      <c r="F2077" s="130"/>
      <c r="G2077" s="14"/>
      <c r="H2077" s="14"/>
      <c r="I2077" s="14"/>
      <c r="J2077" s="14"/>
      <c r="K2077" s="14"/>
      <c r="L2077" s="14"/>
      <c r="M2077" s="14"/>
    </row>
    <row r="2078" spans="2:13" s="7" customFormat="1" ht="13.5">
      <c r="B2078" s="30"/>
      <c r="C2078" s="30"/>
      <c r="D2078" s="31"/>
      <c r="E2078" s="35"/>
      <c r="F2078" s="130"/>
      <c r="G2078" s="14"/>
      <c r="H2078" s="14"/>
      <c r="I2078" s="14"/>
      <c r="J2078" s="14"/>
      <c r="K2078" s="14"/>
      <c r="L2078" s="14"/>
      <c r="M2078" s="14"/>
    </row>
    <row r="2079" spans="2:13" s="7" customFormat="1" ht="13.5">
      <c r="B2079" s="30"/>
      <c r="C2079" s="30"/>
      <c r="D2079" s="31"/>
      <c r="E2079" s="35"/>
      <c r="F2079" s="130"/>
      <c r="G2079" s="14"/>
      <c r="H2079" s="14"/>
      <c r="I2079" s="14"/>
      <c r="J2079" s="14"/>
      <c r="K2079" s="14"/>
      <c r="L2079" s="14"/>
      <c r="M2079" s="14"/>
    </row>
    <row r="2080" spans="2:13" s="7" customFormat="1" ht="13.5">
      <c r="B2080" s="30"/>
      <c r="C2080" s="30"/>
      <c r="D2080" s="31"/>
      <c r="E2080" s="35"/>
      <c r="F2080" s="130"/>
      <c r="G2080" s="14"/>
      <c r="H2080" s="14"/>
      <c r="I2080" s="14"/>
      <c r="J2080" s="14"/>
      <c r="K2080" s="14"/>
      <c r="L2080" s="14"/>
      <c r="M2080" s="14"/>
    </row>
    <row r="2081" spans="2:13" s="7" customFormat="1" ht="13.5">
      <c r="B2081" s="30"/>
      <c r="C2081" s="30"/>
      <c r="D2081" s="31"/>
      <c r="E2081" s="35"/>
      <c r="F2081" s="130"/>
      <c r="G2081" s="14"/>
      <c r="H2081" s="14"/>
      <c r="I2081" s="14"/>
      <c r="J2081" s="14"/>
      <c r="K2081" s="14"/>
      <c r="L2081" s="14"/>
      <c r="M2081" s="14"/>
    </row>
    <row r="2082" spans="2:13" s="7" customFormat="1" ht="13.5">
      <c r="B2082" s="30"/>
      <c r="C2082" s="30"/>
      <c r="D2082" s="31"/>
      <c r="E2082" s="35"/>
      <c r="F2082" s="130"/>
      <c r="G2082" s="14"/>
      <c r="H2082" s="14"/>
      <c r="I2082" s="14"/>
      <c r="J2082" s="14"/>
      <c r="K2082" s="14"/>
      <c r="L2082" s="14"/>
      <c r="M2082" s="14"/>
    </row>
    <row r="2083" spans="2:13" s="7" customFormat="1" ht="13.5">
      <c r="B2083" s="30"/>
      <c r="C2083" s="30"/>
      <c r="D2083" s="31"/>
      <c r="E2083" s="35"/>
      <c r="F2083" s="130"/>
      <c r="G2083" s="14"/>
      <c r="H2083" s="14"/>
      <c r="I2083" s="14"/>
      <c r="J2083" s="14"/>
      <c r="K2083" s="14"/>
      <c r="L2083" s="14"/>
      <c r="M2083" s="14"/>
    </row>
    <row r="2084" spans="2:13" s="7" customFormat="1" ht="13.5">
      <c r="B2084" s="30"/>
      <c r="C2084" s="30"/>
      <c r="D2084" s="31"/>
      <c r="E2084" s="35"/>
      <c r="F2084" s="130"/>
      <c r="G2084" s="14"/>
      <c r="H2084" s="14"/>
      <c r="I2084" s="14"/>
      <c r="J2084" s="14"/>
      <c r="K2084" s="14"/>
      <c r="L2084" s="14"/>
      <c r="M2084" s="14"/>
    </row>
    <row r="2085" spans="2:13" s="7" customFormat="1" ht="13.5">
      <c r="B2085" s="30"/>
      <c r="C2085" s="30"/>
      <c r="D2085" s="31"/>
      <c r="E2085" s="35"/>
      <c r="F2085" s="130"/>
      <c r="G2085" s="14"/>
      <c r="H2085" s="14"/>
      <c r="I2085" s="14"/>
      <c r="J2085" s="14"/>
      <c r="K2085" s="14"/>
      <c r="L2085" s="14"/>
      <c r="M2085" s="14"/>
    </row>
    <row r="2086" spans="2:13" s="7" customFormat="1" ht="13.5">
      <c r="B2086" s="30"/>
      <c r="C2086" s="30"/>
      <c r="D2086" s="31"/>
      <c r="E2086" s="35"/>
      <c r="F2086" s="130"/>
      <c r="G2086" s="14"/>
      <c r="H2086" s="14"/>
      <c r="I2086" s="14"/>
      <c r="J2086" s="14"/>
      <c r="K2086" s="14"/>
      <c r="L2086" s="14"/>
      <c r="M2086" s="14"/>
    </row>
    <row r="2087" spans="2:13" s="7" customFormat="1" ht="13.5">
      <c r="B2087" s="30"/>
      <c r="C2087" s="30"/>
      <c r="D2087" s="31"/>
      <c r="E2087" s="35"/>
      <c r="F2087" s="130"/>
      <c r="G2087" s="14"/>
      <c r="H2087" s="14"/>
      <c r="I2087" s="14"/>
      <c r="J2087" s="14"/>
      <c r="K2087" s="14"/>
      <c r="L2087" s="14"/>
      <c r="M2087" s="14"/>
    </row>
    <row r="2088" spans="2:13" s="7" customFormat="1" ht="13.5">
      <c r="B2088" s="30"/>
      <c r="C2088" s="30"/>
      <c r="D2088" s="31"/>
      <c r="E2088" s="35"/>
      <c r="F2088" s="130"/>
      <c r="G2088" s="14"/>
      <c r="H2088" s="14"/>
      <c r="I2088" s="14"/>
      <c r="J2088" s="14"/>
      <c r="K2088" s="14"/>
      <c r="L2088" s="14"/>
      <c r="M2088" s="14"/>
    </row>
    <row r="2089" spans="2:13" s="7" customFormat="1" ht="13.5">
      <c r="B2089" s="30"/>
      <c r="C2089" s="30"/>
      <c r="D2089" s="31"/>
      <c r="E2089" s="35"/>
      <c r="F2089" s="130"/>
      <c r="G2089" s="14"/>
      <c r="H2089" s="14"/>
      <c r="I2089" s="14"/>
      <c r="J2089" s="14"/>
      <c r="K2089" s="14"/>
      <c r="L2089" s="14"/>
      <c r="M2089" s="14"/>
    </row>
    <row r="2090" spans="2:13" s="7" customFormat="1" ht="13.5">
      <c r="B2090" s="30"/>
      <c r="C2090" s="30"/>
      <c r="D2090" s="31"/>
      <c r="E2090" s="35"/>
      <c r="F2090" s="130"/>
      <c r="G2090" s="14"/>
      <c r="H2090" s="14"/>
      <c r="I2090" s="14"/>
      <c r="J2090" s="14"/>
      <c r="K2090" s="14"/>
      <c r="L2090" s="14"/>
      <c r="M2090" s="14"/>
    </row>
    <row r="2091" spans="2:13" s="7" customFormat="1" ht="13.5">
      <c r="B2091" s="30"/>
      <c r="C2091" s="30"/>
      <c r="D2091" s="31"/>
      <c r="E2091" s="35"/>
      <c r="F2091" s="130"/>
      <c r="G2091" s="14"/>
      <c r="H2091" s="14"/>
      <c r="I2091" s="14"/>
      <c r="J2091" s="14"/>
      <c r="K2091" s="14"/>
      <c r="L2091" s="14"/>
      <c r="M2091" s="14"/>
    </row>
    <row r="2092" spans="2:13" s="7" customFormat="1" ht="13.5">
      <c r="B2092" s="30"/>
      <c r="C2092" s="30"/>
      <c r="D2092" s="31"/>
      <c r="E2092" s="35"/>
      <c r="F2092" s="130"/>
      <c r="G2092" s="14"/>
      <c r="H2092" s="14"/>
      <c r="I2092" s="14"/>
      <c r="J2092" s="14"/>
      <c r="K2092" s="14"/>
      <c r="L2092" s="14"/>
      <c r="M2092" s="14"/>
    </row>
    <row r="2093" spans="2:13" s="7" customFormat="1" ht="13.5">
      <c r="B2093" s="30"/>
      <c r="C2093" s="30"/>
      <c r="D2093" s="31"/>
      <c r="E2093" s="35"/>
      <c r="F2093" s="130"/>
      <c r="G2093" s="14"/>
      <c r="H2093" s="14"/>
      <c r="I2093" s="14"/>
      <c r="J2093" s="14"/>
      <c r="K2093" s="14"/>
      <c r="L2093" s="14"/>
      <c r="M2093" s="14"/>
    </row>
    <row r="2094" spans="2:13" s="7" customFormat="1" ht="13.5">
      <c r="B2094" s="30"/>
      <c r="C2094" s="30"/>
      <c r="D2094" s="31"/>
      <c r="E2094" s="35"/>
      <c r="F2094" s="130"/>
      <c r="G2094" s="14"/>
      <c r="H2094" s="14"/>
      <c r="I2094" s="14"/>
      <c r="J2094" s="14"/>
      <c r="K2094" s="14"/>
      <c r="L2094" s="14"/>
      <c r="M2094" s="14"/>
    </row>
    <row r="2095" spans="2:13" s="7" customFormat="1" ht="13.5">
      <c r="B2095" s="30"/>
      <c r="C2095" s="30"/>
      <c r="D2095" s="31"/>
      <c r="E2095" s="35"/>
      <c r="F2095" s="130"/>
      <c r="G2095" s="14"/>
      <c r="H2095" s="14"/>
      <c r="I2095" s="14"/>
      <c r="J2095" s="14"/>
      <c r="K2095" s="14"/>
      <c r="L2095" s="14"/>
      <c r="M2095" s="14"/>
    </row>
    <row r="2096" spans="2:13" s="7" customFormat="1" ht="13.5">
      <c r="B2096" s="30"/>
      <c r="C2096" s="30"/>
      <c r="D2096" s="31"/>
      <c r="E2096" s="35"/>
      <c r="F2096" s="130"/>
      <c r="G2096" s="14"/>
      <c r="H2096" s="14"/>
      <c r="I2096" s="14"/>
      <c r="J2096" s="14"/>
      <c r="K2096" s="14"/>
      <c r="L2096" s="14"/>
      <c r="M2096" s="14"/>
    </row>
    <row r="2097" spans="2:13" s="7" customFormat="1" ht="13.5">
      <c r="B2097" s="30"/>
      <c r="C2097" s="30"/>
      <c r="D2097" s="31"/>
      <c r="E2097" s="35"/>
      <c r="F2097" s="130"/>
      <c r="G2097" s="14"/>
      <c r="H2097" s="14"/>
      <c r="I2097" s="14"/>
      <c r="J2097" s="14"/>
      <c r="K2097" s="14"/>
      <c r="L2097" s="14"/>
      <c r="M2097" s="14"/>
    </row>
    <row r="2098" spans="2:13" s="7" customFormat="1" ht="13.5">
      <c r="B2098" s="30"/>
      <c r="C2098" s="30"/>
      <c r="D2098" s="31"/>
      <c r="E2098" s="35"/>
      <c r="F2098" s="130"/>
      <c r="G2098" s="14"/>
      <c r="H2098" s="14"/>
      <c r="I2098" s="14"/>
      <c r="J2098" s="14"/>
      <c r="K2098" s="14"/>
      <c r="L2098" s="14"/>
      <c r="M2098" s="14"/>
    </row>
    <row r="2099" spans="2:13" s="7" customFormat="1" ht="13.5">
      <c r="B2099" s="30"/>
      <c r="C2099" s="30"/>
      <c r="D2099" s="31"/>
      <c r="E2099" s="35"/>
      <c r="F2099" s="130"/>
      <c r="G2099" s="14"/>
      <c r="H2099" s="14"/>
      <c r="I2099" s="14"/>
      <c r="J2099" s="14"/>
      <c r="K2099" s="14"/>
      <c r="L2099" s="14"/>
      <c r="M2099" s="14"/>
    </row>
    <row r="2100" spans="2:13" s="7" customFormat="1" ht="13.5">
      <c r="B2100" s="30"/>
      <c r="C2100" s="30"/>
      <c r="D2100" s="31"/>
      <c r="E2100" s="35"/>
      <c r="F2100" s="130"/>
      <c r="G2100" s="14"/>
      <c r="H2100" s="14"/>
      <c r="I2100" s="14"/>
      <c r="J2100" s="14"/>
      <c r="K2100" s="14"/>
      <c r="L2100" s="14"/>
      <c r="M2100" s="14"/>
    </row>
    <row r="2101" spans="2:13" s="7" customFormat="1" ht="13.5">
      <c r="B2101" s="30"/>
      <c r="C2101" s="30"/>
      <c r="D2101" s="31"/>
      <c r="E2101" s="35"/>
      <c r="F2101" s="130"/>
      <c r="G2101" s="14"/>
      <c r="H2101" s="14"/>
      <c r="I2101" s="14"/>
      <c r="J2101" s="14"/>
      <c r="K2101" s="14"/>
      <c r="L2101" s="14"/>
      <c r="M2101" s="14"/>
    </row>
    <row r="2102" spans="2:13" s="7" customFormat="1" ht="13.5">
      <c r="B2102" s="30"/>
      <c r="C2102" s="30"/>
      <c r="D2102" s="31"/>
      <c r="E2102" s="35"/>
      <c r="F2102" s="130"/>
      <c r="G2102" s="14"/>
      <c r="H2102" s="14"/>
      <c r="I2102" s="14"/>
      <c r="J2102" s="14"/>
      <c r="K2102" s="14"/>
      <c r="L2102" s="14"/>
      <c r="M2102" s="14"/>
    </row>
    <row r="2103" spans="2:13" s="7" customFormat="1" ht="13.5">
      <c r="B2103" s="30"/>
      <c r="C2103" s="30"/>
      <c r="D2103" s="31"/>
      <c r="E2103" s="35"/>
      <c r="F2103" s="130"/>
      <c r="G2103" s="14"/>
      <c r="H2103" s="14"/>
      <c r="I2103" s="14"/>
      <c r="J2103" s="14"/>
      <c r="K2103" s="14"/>
      <c r="L2103" s="14"/>
      <c r="M2103" s="14"/>
    </row>
    <row r="2104" spans="2:13" s="7" customFormat="1" ht="13.5">
      <c r="B2104" s="30"/>
      <c r="C2104" s="30"/>
      <c r="D2104" s="31"/>
      <c r="E2104" s="35"/>
      <c r="F2104" s="130"/>
      <c r="G2104" s="14"/>
      <c r="H2104" s="14"/>
      <c r="I2104" s="14"/>
      <c r="J2104" s="14"/>
      <c r="K2104" s="14"/>
      <c r="L2104" s="14"/>
      <c r="M2104" s="14"/>
    </row>
    <row r="2105" spans="2:13" s="7" customFormat="1" ht="13.5">
      <c r="B2105" s="30"/>
      <c r="C2105" s="30"/>
      <c r="D2105" s="31"/>
      <c r="E2105" s="35"/>
      <c r="F2105" s="130"/>
      <c r="G2105" s="14"/>
      <c r="H2105" s="14"/>
      <c r="I2105" s="14"/>
      <c r="J2105" s="14"/>
      <c r="K2105" s="14"/>
      <c r="L2105" s="14"/>
      <c r="M2105" s="14"/>
    </row>
    <row r="2106" spans="2:13" s="7" customFormat="1" ht="13.5">
      <c r="B2106" s="30"/>
      <c r="C2106" s="30"/>
      <c r="D2106" s="31"/>
      <c r="E2106" s="35"/>
      <c r="F2106" s="130"/>
      <c r="G2106" s="14"/>
      <c r="H2106" s="14"/>
      <c r="I2106" s="14"/>
      <c r="J2106" s="14"/>
      <c r="K2106" s="14"/>
      <c r="L2106" s="14"/>
      <c r="M2106" s="14"/>
    </row>
    <row r="2107" spans="2:13" s="7" customFormat="1" ht="13.5">
      <c r="B2107" s="30"/>
      <c r="C2107" s="30"/>
      <c r="D2107" s="31"/>
      <c r="E2107" s="35"/>
      <c r="F2107" s="130"/>
      <c r="G2107" s="14"/>
      <c r="H2107" s="14"/>
      <c r="I2107" s="14"/>
      <c r="J2107" s="14"/>
      <c r="K2107" s="14"/>
      <c r="L2107" s="14"/>
      <c r="M2107" s="14"/>
    </row>
    <row r="2108" spans="2:13" s="7" customFormat="1" ht="13.5">
      <c r="B2108" s="30"/>
      <c r="C2108" s="30"/>
      <c r="D2108" s="31"/>
      <c r="E2108" s="35"/>
      <c r="F2108" s="130"/>
      <c r="G2108" s="14"/>
      <c r="H2108" s="14"/>
      <c r="I2108" s="14"/>
      <c r="J2108" s="14"/>
      <c r="K2108" s="14"/>
      <c r="L2108" s="14"/>
      <c r="M2108" s="14"/>
    </row>
    <row r="2109" spans="2:13" s="7" customFormat="1" ht="13.5">
      <c r="B2109" s="30"/>
      <c r="C2109" s="30"/>
      <c r="D2109" s="31"/>
      <c r="E2109" s="35"/>
      <c r="F2109" s="130"/>
      <c r="G2109" s="14"/>
      <c r="H2109" s="14"/>
      <c r="I2109" s="14"/>
      <c r="J2109" s="14"/>
      <c r="K2109" s="14"/>
      <c r="L2109" s="14"/>
      <c r="M2109" s="14"/>
    </row>
    <row r="2110" spans="2:13" s="7" customFormat="1" ht="13.5">
      <c r="B2110" s="30"/>
      <c r="C2110" s="30"/>
      <c r="D2110" s="31"/>
      <c r="E2110" s="35"/>
      <c r="F2110" s="130"/>
      <c r="G2110" s="14"/>
      <c r="H2110" s="14"/>
      <c r="I2110" s="14"/>
      <c r="J2110" s="14"/>
      <c r="K2110" s="14"/>
      <c r="L2110" s="14"/>
      <c r="M2110" s="14"/>
    </row>
    <row r="2111" spans="2:13" s="7" customFormat="1" ht="13.5">
      <c r="B2111" s="30"/>
      <c r="C2111" s="30"/>
      <c r="D2111" s="31"/>
      <c r="E2111" s="35"/>
      <c r="F2111" s="130"/>
      <c r="G2111" s="14"/>
      <c r="H2111" s="14"/>
      <c r="I2111" s="14"/>
      <c r="J2111" s="14"/>
      <c r="K2111" s="14"/>
      <c r="L2111" s="14"/>
      <c r="M2111" s="14"/>
    </row>
    <row r="2112" spans="2:13" s="7" customFormat="1" ht="13.5">
      <c r="B2112" s="30"/>
      <c r="C2112" s="30"/>
      <c r="D2112" s="31"/>
      <c r="E2112" s="35"/>
      <c r="F2112" s="130"/>
      <c r="G2112" s="14"/>
      <c r="H2112" s="14"/>
      <c r="I2112" s="14"/>
      <c r="J2112" s="14"/>
      <c r="K2112" s="14"/>
      <c r="L2112" s="14"/>
      <c r="M2112" s="14"/>
    </row>
    <row r="2113" spans="2:13" s="7" customFormat="1" ht="13.5">
      <c r="B2113" s="30"/>
      <c r="C2113" s="30"/>
      <c r="D2113" s="31"/>
      <c r="E2113" s="35"/>
      <c r="F2113" s="130"/>
      <c r="G2113" s="14"/>
      <c r="H2113" s="14"/>
      <c r="I2113" s="14"/>
      <c r="J2113" s="14"/>
      <c r="K2113" s="14"/>
      <c r="L2113" s="14"/>
      <c r="M2113" s="14"/>
    </row>
    <row r="2114" spans="2:13" s="7" customFormat="1" ht="13.5">
      <c r="B2114" s="30"/>
      <c r="C2114" s="30"/>
      <c r="D2114" s="31"/>
      <c r="E2114" s="35"/>
      <c r="F2114" s="130"/>
      <c r="G2114" s="14"/>
      <c r="H2114" s="14"/>
      <c r="I2114" s="14"/>
      <c r="J2114" s="14"/>
      <c r="K2114" s="14"/>
      <c r="L2114" s="14"/>
      <c r="M2114" s="14"/>
    </row>
    <row r="2115" spans="2:13" s="7" customFormat="1" ht="13.5">
      <c r="B2115" s="30"/>
      <c r="C2115" s="30"/>
      <c r="D2115" s="31"/>
      <c r="E2115" s="35"/>
      <c r="F2115" s="130"/>
      <c r="G2115" s="14"/>
      <c r="H2115" s="14"/>
      <c r="I2115" s="14"/>
      <c r="J2115" s="14"/>
      <c r="K2115" s="14"/>
      <c r="L2115" s="14"/>
      <c r="M2115" s="14"/>
    </row>
    <row r="2116" spans="2:13" s="7" customFormat="1" ht="13.5">
      <c r="B2116" s="30"/>
      <c r="C2116" s="30"/>
      <c r="D2116" s="31"/>
      <c r="E2116" s="35"/>
      <c r="F2116" s="130"/>
      <c r="G2116" s="14"/>
      <c r="H2116" s="14"/>
      <c r="I2116" s="14"/>
      <c r="J2116" s="14"/>
      <c r="K2116" s="14"/>
      <c r="L2116" s="14"/>
      <c r="M2116" s="14"/>
    </row>
    <row r="2117" spans="2:13" s="7" customFormat="1" ht="13.5">
      <c r="B2117" s="30"/>
      <c r="C2117" s="30"/>
      <c r="D2117" s="31"/>
      <c r="E2117" s="35"/>
      <c r="F2117" s="130"/>
      <c r="G2117" s="14"/>
      <c r="H2117" s="14"/>
      <c r="I2117" s="14"/>
      <c r="J2117" s="14"/>
      <c r="K2117" s="14"/>
      <c r="L2117" s="14"/>
      <c r="M2117" s="14"/>
    </row>
    <row r="2118" spans="2:13" s="7" customFormat="1" ht="13.5">
      <c r="B2118" s="30"/>
      <c r="C2118" s="30"/>
      <c r="D2118" s="31"/>
      <c r="E2118" s="35"/>
      <c r="F2118" s="130"/>
      <c r="G2118" s="14"/>
      <c r="H2118" s="14"/>
      <c r="I2118" s="14"/>
      <c r="J2118" s="14"/>
      <c r="K2118" s="14"/>
      <c r="L2118" s="14"/>
      <c r="M2118" s="14"/>
    </row>
    <row r="2119" spans="2:13" s="7" customFormat="1" ht="13.5">
      <c r="B2119" s="30"/>
      <c r="C2119" s="30"/>
      <c r="D2119" s="31"/>
      <c r="E2119" s="35"/>
      <c r="F2119" s="130"/>
      <c r="G2119" s="14"/>
      <c r="H2119" s="14"/>
      <c r="I2119" s="14"/>
      <c r="J2119" s="14"/>
      <c r="K2119" s="14"/>
      <c r="L2119" s="14"/>
      <c r="M2119" s="14"/>
    </row>
    <row r="2120" spans="2:13" s="7" customFormat="1" ht="13.5">
      <c r="B2120" s="30"/>
      <c r="C2120" s="30"/>
      <c r="D2120" s="31"/>
      <c r="E2120" s="35"/>
      <c r="F2120" s="130"/>
      <c r="G2120" s="14"/>
      <c r="H2120" s="14"/>
      <c r="I2120" s="14"/>
      <c r="J2120" s="14"/>
      <c r="K2120" s="14"/>
      <c r="L2120" s="14"/>
      <c r="M2120" s="14"/>
    </row>
    <row r="2121" spans="2:13" s="7" customFormat="1" ht="13.5">
      <c r="B2121" s="30"/>
      <c r="C2121" s="30"/>
      <c r="D2121" s="31"/>
      <c r="E2121" s="35"/>
      <c r="F2121" s="130"/>
      <c r="G2121" s="14"/>
      <c r="H2121" s="14"/>
      <c r="I2121" s="14"/>
      <c r="J2121" s="14"/>
      <c r="K2121" s="14"/>
      <c r="L2121" s="14"/>
      <c r="M2121" s="14"/>
    </row>
    <row r="2122" spans="2:13" s="7" customFormat="1" ht="13.5">
      <c r="B2122" s="30"/>
      <c r="C2122" s="30"/>
      <c r="D2122" s="31"/>
      <c r="E2122" s="35"/>
      <c r="F2122" s="130"/>
      <c r="G2122" s="14"/>
      <c r="H2122" s="14"/>
      <c r="I2122" s="14"/>
      <c r="J2122" s="14"/>
      <c r="K2122" s="14"/>
      <c r="L2122" s="14"/>
      <c r="M2122" s="14"/>
    </row>
    <row r="2123" spans="2:13" s="7" customFormat="1" ht="13.5">
      <c r="B2123" s="30"/>
      <c r="C2123" s="30"/>
      <c r="D2123" s="31"/>
      <c r="E2123" s="35"/>
      <c r="F2123" s="130"/>
      <c r="G2123" s="14"/>
      <c r="H2123" s="14"/>
      <c r="I2123" s="14"/>
      <c r="J2123" s="14"/>
      <c r="K2123" s="14"/>
      <c r="L2123" s="14"/>
      <c r="M2123" s="14"/>
    </row>
    <row r="2124" spans="2:13" s="7" customFormat="1" ht="13.5">
      <c r="B2124" s="30"/>
      <c r="C2124" s="30"/>
      <c r="D2124" s="31"/>
      <c r="E2124" s="35"/>
      <c r="F2124" s="130"/>
      <c r="G2124" s="14"/>
      <c r="H2124" s="14"/>
      <c r="I2124" s="14"/>
      <c r="J2124" s="14"/>
      <c r="K2124" s="14"/>
      <c r="L2124" s="14"/>
      <c r="M2124" s="14"/>
    </row>
    <row r="2125" spans="2:13" s="7" customFormat="1" ht="13.5">
      <c r="B2125" s="30"/>
      <c r="C2125" s="30"/>
      <c r="D2125" s="31"/>
      <c r="E2125" s="35"/>
      <c r="F2125" s="130"/>
      <c r="G2125" s="14"/>
      <c r="H2125" s="14"/>
      <c r="I2125" s="14"/>
      <c r="J2125" s="14"/>
      <c r="K2125" s="14"/>
      <c r="L2125" s="14"/>
      <c r="M2125" s="14"/>
    </row>
    <row r="2126" spans="2:13" s="7" customFormat="1" ht="13.5">
      <c r="B2126" s="30"/>
      <c r="C2126" s="30"/>
      <c r="D2126" s="31"/>
      <c r="E2126" s="35"/>
      <c r="F2126" s="130"/>
      <c r="G2126" s="14"/>
      <c r="H2126" s="14"/>
      <c r="I2126" s="14"/>
      <c r="J2126" s="14"/>
      <c r="K2126" s="14"/>
      <c r="L2126" s="14"/>
      <c r="M2126" s="14"/>
    </row>
    <row r="2127" spans="2:13" s="7" customFormat="1" ht="13.5">
      <c r="B2127" s="30"/>
      <c r="C2127" s="30"/>
      <c r="D2127" s="31"/>
      <c r="E2127" s="35"/>
      <c r="F2127" s="130"/>
      <c r="G2127" s="14"/>
      <c r="H2127" s="14"/>
      <c r="I2127" s="14"/>
      <c r="J2127" s="14"/>
      <c r="K2127" s="14"/>
      <c r="L2127" s="14"/>
      <c r="M2127" s="14"/>
    </row>
    <row r="2128" spans="2:13" s="7" customFormat="1" ht="13.5">
      <c r="B2128" s="30"/>
      <c r="C2128" s="30"/>
      <c r="D2128" s="31"/>
      <c r="E2128" s="35"/>
      <c r="F2128" s="130"/>
      <c r="G2128" s="14"/>
      <c r="H2128" s="14"/>
      <c r="I2128" s="14"/>
      <c r="J2128" s="14"/>
      <c r="K2128" s="14"/>
      <c r="L2128" s="14"/>
      <c r="M2128" s="14"/>
    </row>
    <row r="2129" spans="2:13" s="7" customFormat="1" ht="13.5">
      <c r="B2129" s="30"/>
      <c r="C2129" s="30"/>
      <c r="D2129" s="31"/>
      <c r="E2129" s="35"/>
      <c r="F2129" s="130"/>
      <c r="G2129" s="14"/>
      <c r="H2129" s="14"/>
      <c r="I2129" s="14"/>
      <c r="J2129" s="14"/>
      <c r="K2129" s="14"/>
      <c r="L2129" s="14"/>
      <c r="M2129" s="14"/>
    </row>
    <row r="2130" spans="2:13" s="7" customFormat="1" ht="13.5">
      <c r="B2130" s="30"/>
      <c r="C2130" s="30"/>
      <c r="D2130" s="31"/>
      <c r="E2130" s="35"/>
      <c r="F2130" s="130"/>
      <c r="G2130" s="14"/>
      <c r="H2130" s="14"/>
      <c r="I2130" s="14"/>
      <c r="J2130" s="14"/>
      <c r="K2130" s="14"/>
      <c r="L2130" s="14"/>
      <c r="M2130" s="14"/>
    </row>
    <row r="2131" spans="2:13" s="7" customFormat="1" ht="13.5">
      <c r="B2131" s="30"/>
      <c r="C2131" s="30"/>
      <c r="D2131" s="31"/>
      <c r="E2131" s="35"/>
      <c r="F2131" s="130"/>
      <c r="G2131" s="14"/>
      <c r="H2131" s="14"/>
      <c r="I2131" s="14"/>
      <c r="J2131" s="14"/>
      <c r="K2131" s="14"/>
      <c r="L2131" s="14"/>
      <c r="M2131" s="14"/>
    </row>
    <row r="2132" spans="2:13" s="7" customFormat="1" ht="13.5">
      <c r="B2132" s="30"/>
      <c r="C2132" s="30"/>
      <c r="D2132" s="31"/>
      <c r="E2132" s="35"/>
      <c r="F2132" s="130"/>
      <c r="G2132" s="14"/>
      <c r="H2132" s="14"/>
      <c r="I2132" s="14"/>
      <c r="J2132" s="14"/>
      <c r="K2132" s="14"/>
      <c r="L2132" s="14"/>
      <c r="M2132" s="14"/>
    </row>
    <row r="2133" spans="2:13" s="7" customFormat="1" ht="13.5">
      <c r="B2133" s="30"/>
      <c r="C2133" s="30"/>
      <c r="D2133" s="31"/>
      <c r="E2133" s="35"/>
      <c r="F2133" s="130"/>
      <c r="G2133" s="14"/>
      <c r="H2133" s="14"/>
      <c r="I2133" s="14"/>
      <c r="J2133" s="14"/>
      <c r="K2133" s="14"/>
      <c r="L2133" s="14"/>
      <c r="M2133" s="14"/>
    </row>
    <row r="2134" spans="2:13" s="7" customFormat="1" ht="13.5">
      <c r="B2134" s="30"/>
      <c r="C2134" s="30"/>
      <c r="D2134" s="31"/>
      <c r="E2134" s="35"/>
      <c r="F2134" s="130"/>
      <c r="G2134" s="14"/>
      <c r="H2134" s="14"/>
      <c r="I2134" s="14"/>
      <c r="J2134" s="14"/>
      <c r="K2134" s="14"/>
      <c r="L2134" s="14"/>
      <c r="M2134" s="14"/>
    </row>
    <row r="2135" spans="2:13" s="7" customFormat="1" ht="13.5">
      <c r="B2135" s="30"/>
      <c r="C2135" s="30"/>
      <c r="D2135" s="31"/>
      <c r="E2135" s="35"/>
      <c r="F2135" s="130"/>
      <c r="G2135" s="14"/>
      <c r="H2135" s="14"/>
      <c r="I2135" s="14"/>
      <c r="J2135" s="14"/>
      <c r="K2135" s="14"/>
      <c r="L2135" s="14"/>
      <c r="M2135" s="14"/>
    </row>
    <row r="2136" spans="2:13" s="7" customFormat="1" ht="13.5">
      <c r="B2136" s="30"/>
      <c r="C2136" s="30"/>
      <c r="D2136" s="31"/>
      <c r="E2136" s="35"/>
      <c r="F2136" s="130"/>
      <c r="G2136" s="14"/>
      <c r="H2136" s="14"/>
      <c r="I2136" s="14"/>
      <c r="J2136" s="14"/>
      <c r="K2136" s="14"/>
      <c r="L2136" s="14"/>
      <c r="M2136" s="14"/>
    </row>
    <row r="2137" spans="2:13" s="7" customFormat="1" ht="13.5">
      <c r="B2137" s="30"/>
      <c r="C2137" s="30"/>
      <c r="D2137" s="31"/>
      <c r="E2137" s="35"/>
      <c r="F2137" s="130"/>
      <c r="G2137" s="14"/>
      <c r="H2137" s="14"/>
      <c r="I2137" s="14"/>
      <c r="J2137" s="14"/>
      <c r="K2137" s="14"/>
      <c r="L2137" s="14"/>
      <c r="M2137" s="14"/>
    </row>
    <row r="2138" spans="2:13" s="7" customFormat="1" ht="13.5">
      <c r="B2138" s="30"/>
      <c r="C2138" s="30"/>
      <c r="D2138" s="31"/>
      <c r="E2138" s="35"/>
      <c r="F2138" s="130"/>
      <c r="G2138" s="14"/>
      <c r="H2138" s="14"/>
      <c r="I2138" s="14"/>
      <c r="J2138" s="14"/>
      <c r="K2138" s="14"/>
      <c r="L2138" s="14"/>
      <c r="M2138" s="14"/>
    </row>
    <row r="2139" spans="2:13" s="7" customFormat="1" ht="13.5">
      <c r="B2139" s="30"/>
      <c r="C2139" s="30"/>
      <c r="D2139" s="31"/>
      <c r="E2139" s="35"/>
      <c r="F2139" s="130"/>
      <c r="G2139" s="14"/>
      <c r="H2139" s="14"/>
      <c r="I2139" s="14"/>
      <c r="J2139" s="14"/>
      <c r="K2139" s="14"/>
      <c r="L2139" s="14"/>
      <c r="M2139" s="14"/>
    </row>
    <row r="2140" spans="2:13" s="7" customFormat="1" ht="13.5">
      <c r="B2140" s="30"/>
      <c r="C2140" s="30"/>
      <c r="D2140" s="31"/>
      <c r="E2140" s="35"/>
      <c r="F2140" s="130"/>
      <c r="G2140" s="14"/>
      <c r="H2140" s="14"/>
      <c r="I2140" s="14"/>
      <c r="J2140" s="14"/>
      <c r="K2140" s="14"/>
      <c r="L2140" s="14"/>
      <c r="M2140" s="14"/>
    </row>
    <row r="2141" spans="2:13" s="7" customFormat="1" ht="13.5">
      <c r="B2141" s="30"/>
      <c r="C2141" s="30"/>
      <c r="D2141" s="31"/>
      <c r="E2141" s="35"/>
      <c r="F2141" s="130"/>
      <c r="G2141" s="14"/>
      <c r="H2141" s="14"/>
      <c r="I2141" s="14"/>
      <c r="J2141" s="14"/>
      <c r="K2141" s="14"/>
      <c r="L2141" s="14"/>
      <c r="M2141" s="14"/>
    </row>
    <row r="2142" spans="2:13" s="7" customFormat="1" ht="13.5">
      <c r="B2142" s="30"/>
      <c r="C2142" s="30"/>
      <c r="D2142" s="31"/>
      <c r="E2142" s="35"/>
      <c r="F2142" s="130"/>
      <c r="G2142" s="14"/>
      <c r="H2142" s="14"/>
      <c r="I2142" s="14"/>
      <c r="J2142" s="14"/>
      <c r="K2142" s="14"/>
      <c r="L2142" s="14"/>
      <c r="M2142" s="14"/>
    </row>
    <row r="2143" spans="2:13" s="7" customFormat="1" ht="13.5">
      <c r="B2143" s="30"/>
      <c r="C2143" s="30"/>
      <c r="D2143" s="31"/>
      <c r="E2143" s="35"/>
      <c r="F2143" s="130"/>
      <c r="G2143" s="14"/>
      <c r="H2143" s="14"/>
      <c r="I2143" s="14"/>
      <c r="J2143" s="14"/>
      <c r="K2143" s="14"/>
      <c r="L2143" s="14"/>
      <c r="M2143" s="14"/>
    </row>
    <row r="2144" spans="2:13" s="7" customFormat="1" ht="13.5">
      <c r="B2144" s="30"/>
      <c r="C2144" s="30"/>
      <c r="D2144" s="31"/>
      <c r="E2144" s="35"/>
      <c r="F2144" s="130"/>
      <c r="G2144" s="14"/>
      <c r="H2144" s="14"/>
      <c r="I2144" s="14"/>
      <c r="J2144" s="14"/>
      <c r="K2144" s="14"/>
      <c r="L2144" s="14"/>
      <c r="M2144" s="14"/>
    </row>
    <row r="2145" spans="2:13" s="7" customFormat="1" ht="13.5">
      <c r="B2145" s="30"/>
      <c r="C2145" s="30"/>
      <c r="D2145" s="31"/>
      <c r="E2145" s="35"/>
      <c r="F2145" s="130"/>
      <c r="G2145" s="14"/>
      <c r="H2145" s="14"/>
      <c r="I2145" s="14"/>
      <c r="J2145" s="14"/>
      <c r="K2145" s="14"/>
      <c r="L2145" s="14"/>
      <c r="M2145" s="14"/>
    </row>
    <row r="2146" spans="2:13" s="7" customFormat="1" ht="13.5">
      <c r="B2146" s="30"/>
      <c r="C2146" s="30"/>
      <c r="D2146" s="31"/>
      <c r="E2146" s="35"/>
      <c r="F2146" s="130"/>
      <c r="G2146" s="14"/>
      <c r="H2146" s="14"/>
      <c r="I2146" s="14"/>
      <c r="J2146" s="14"/>
      <c r="K2146" s="14"/>
      <c r="L2146" s="14"/>
      <c r="M2146" s="14"/>
    </row>
    <row r="2147" spans="2:13" s="7" customFormat="1" ht="13.5">
      <c r="B2147" s="30"/>
      <c r="C2147" s="30"/>
      <c r="D2147" s="31"/>
      <c r="E2147" s="35"/>
      <c r="F2147" s="130"/>
      <c r="G2147" s="14"/>
      <c r="H2147" s="14"/>
      <c r="I2147" s="14"/>
      <c r="J2147" s="14"/>
      <c r="K2147" s="14"/>
      <c r="L2147" s="14"/>
      <c r="M2147" s="14"/>
    </row>
    <row r="2148" spans="2:13" s="7" customFormat="1" ht="13.5">
      <c r="B2148" s="30"/>
      <c r="C2148" s="30"/>
      <c r="D2148" s="31"/>
      <c r="E2148" s="35"/>
      <c r="F2148" s="130"/>
      <c r="G2148" s="14"/>
      <c r="H2148" s="14"/>
      <c r="I2148" s="14"/>
      <c r="J2148" s="14"/>
      <c r="K2148" s="14"/>
      <c r="L2148" s="14"/>
      <c r="M2148" s="14"/>
    </row>
    <row r="2149" spans="2:13" s="7" customFormat="1" ht="13.5">
      <c r="B2149" s="30"/>
      <c r="C2149" s="30"/>
      <c r="D2149" s="31"/>
      <c r="E2149" s="35"/>
      <c r="F2149" s="130"/>
      <c r="G2149" s="14"/>
      <c r="H2149" s="14"/>
      <c r="I2149" s="14"/>
      <c r="J2149" s="14"/>
      <c r="K2149" s="14"/>
      <c r="L2149" s="14"/>
      <c r="M2149" s="14"/>
    </row>
    <row r="2150" spans="2:13" s="7" customFormat="1" ht="13.5">
      <c r="B2150" s="30"/>
      <c r="C2150" s="30"/>
      <c r="D2150" s="31"/>
      <c r="E2150" s="35"/>
      <c r="F2150" s="130"/>
      <c r="G2150" s="14"/>
      <c r="H2150" s="14"/>
      <c r="I2150" s="14"/>
      <c r="J2150" s="14"/>
      <c r="K2150" s="14"/>
      <c r="L2150" s="14"/>
      <c r="M2150" s="14"/>
    </row>
    <row r="2151" spans="2:13" s="7" customFormat="1" ht="13.5">
      <c r="B2151" s="30"/>
      <c r="C2151" s="30"/>
      <c r="D2151" s="31"/>
      <c r="E2151" s="35"/>
      <c r="F2151" s="130"/>
      <c r="G2151" s="14"/>
      <c r="H2151" s="14"/>
      <c r="I2151" s="14"/>
      <c r="J2151" s="14"/>
      <c r="K2151" s="14"/>
      <c r="L2151" s="14"/>
      <c r="M2151" s="14"/>
    </row>
    <row r="2152" spans="2:13" s="7" customFormat="1" ht="13.5">
      <c r="B2152" s="30"/>
      <c r="C2152" s="30"/>
      <c r="D2152" s="31"/>
      <c r="E2152" s="35"/>
      <c r="F2152" s="130"/>
      <c r="G2152" s="14"/>
      <c r="H2152" s="14"/>
      <c r="I2152" s="14"/>
      <c r="J2152" s="14"/>
      <c r="K2152" s="14"/>
      <c r="L2152" s="14"/>
      <c r="M2152" s="14"/>
    </row>
    <row r="2153" spans="2:13" s="7" customFormat="1" ht="13.5">
      <c r="B2153" s="30"/>
      <c r="C2153" s="30"/>
      <c r="D2153" s="31"/>
      <c r="E2153" s="35"/>
      <c r="F2153" s="130"/>
      <c r="G2153" s="14"/>
      <c r="H2153" s="14"/>
      <c r="I2153" s="14"/>
      <c r="J2153" s="14"/>
      <c r="K2153" s="14"/>
      <c r="L2153" s="14"/>
      <c r="M2153" s="14"/>
    </row>
    <row r="2154" spans="2:13" s="7" customFormat="1" ht="13.5">
      <c r="B2154" s="30"/>
      <c r="C2154" s="30"/>
      <c r="D2154" s="31"/>
      <c r="E2154" s="35"/>
      <c r="F2154" s="130"/>
      <c r="G2154" s="14"/>
      <c r="H2154" s="14"/>
      <c r="I2154" s="14"/>
      <c r="J2154" s="14"/>
      <c r="K2154" s="14"/>
      <c r="L2154" s="14"/>
      <c r="M2154" s="14"/>
    </row>
    <row r="2155" spans="2:13" s="7" customFormat="1" ht="13.5">
      <c r="B2155" s="30"/>
      <c r="C2155" s="30"/>
      <c r="D2155" s="31"/>
      <c r="E2155" s="35"/>
      <c r="F2155" s="130"/>
      <c r="G2155" s="14"/>
      <c r="H2155" s="14"/>
      <c r="I2155" s="14"/>
      <c r="J2155" s="14"/>
      <c r="K2155" s="14"/>
      <c r="L2155" s="14"/>
      <c r="M2155" s="14"/>
    </row>
    <row r="2156" spans="2:13" s="7" customFormat="1" ht="13.5">
      <c r="B2156" s="30"/>
      <c r="C2156" s="30"/>
      <c r="D2156" s="31"/>
      <c r="E2156" s="35"/>
      <c r="F2156" s="130"/>
      <c r="G2156" s="14"/>
      <c r="H2156" s="14"/>
      <c r="I2156" s="14"/>
      <c r="J2156" s="14"/>
      <c r="K2156" s="14"/>
      <c r="L2156" s="14"/>
      <c r="M2156" s="14"/>
    </row>
    <row r="2157" spans="2:13" s="7" customFormat="1" ht="13.5">
      <c r="B2157" s="30"/>
      <c r="C2157" s="30"/>
      <c r="D2157" s="31"/>
      <c r="E2157" s="35"/>
      <c r="F2157" s="130"/>
      <c r="G2157" s="14"/>
      <c r="H2157" s="14"/>
      <c r="I2157" s="14"/>
      <c r="J2157" s="14"/>
      <c r="K2157" s="14"/>
      <c r="L2157" s="14"/>
      <c r="M2157" s="14"/>
    </row>
    <row r="2158" spans="2:13" s="7" customFormat="1" ht="13.5">
      <c r="B2158" s="30"/>
      <c r="C2158" s="30"/>
      <c r="D2158" s="31"/>
      <c r="E2158" s="35"/>
      <c r="F2158" s="130"/>
      <c r="G2158" s="14"/>
      <c r="H2158" s="14"/>
      <c r="I2158" s="14"/>
      <c r="J2158" s="14"/>
      <c r="K2158" s="14"/>
      <c r="L2158" s="14"/>
      <c r="M2158" s="14"/>
    </row>
    <row r="2159" spans="2:13" s="7" customFormat="1" ht="13.5">
      <c r="B2159" s="30"/>
      <c r="C2159" s="30"/>
      <c r="D2159" s="31"/>
      <c r="E2159" s="35"/>
      <c r="F2159" s="130"/>
      <c r="G2159" s="14"/>
      <c r="H2159" s="14"/>
      <c r="I2159" s="14"/>
      <c r="J2159" s="14"/>
      <c r="K2159" s="14"/>
      <c r="L2159" s="14"/>
      <c r="M2159" s="14"/>
    </row>
    <row r="2160" spans="2:13" s="7" customFormat="1" ht="13.5">
      <c r="B2160" s="30"/>
      <c r="C2160" s="30"/>
      <c r="D2160" s="31"/>
      <c r="E2160" s="35"/>
      <c r="F2160" s="130"/>
      <c r="G2160" s="14"/>
      <c r="H2160" s="14"/>
      <c r="I2160" s="14"/>
      <c r="J2160" s="14"/>
      <c r="K2160" s="14"/>
      <c r="L2160" s="14"/>
      <c r="M2160" s="14"/>
    </row>
    <row r="2161" spans="2:13" s="7" customFormat="1" ht="13.5">
      <c r="B2161" s="30"/>
      <c r="C2161" s="30"/>
      <c r="D2161" s="31"/>
      <c r="E2161" s="35"/>
      <c r="F2161" s="130"/>
      <c r="G2161" s="14"/>
      <c r="H2161" s="14"/>
      <c r="I2161" s="14"/>
      <c r="J2161" s="14"/>
      <c r="K2161" s="14"/>
      <c r="L2161" s="14"/>
      <c r="M2161" s="14"/>
    </row>
    <row r="2162" spans="2:13" s="7" customFormat="1" ht="13.5">
      <c r="B2162" s="30"/>
      <c r="C2162" s="30"/>
      <c r="D2162" s="31"/>
      <c r="E2162" s="35"/>
      <c r="F2162" s="130"/>
      <c r="G2162" s="14"/>
      <c r="H2162" s="14"/>
      <c r="I2162" s="14"/>
      <c r="J2162" s="14"/>
      <c r="K2162" s="14"/>
      <c r="L2162" s="14"/>
      <c r="M2162" s="14"/>
    </row>
    <row r="2163" spans="2:13" s="7" customFormat="1" ht="13.5">
      <c r="B2163" s="30"/>
      <c r="C2163" s="30"/>
      <c r="D2163" s="31"/>
      <c r="E2163" s="35"/>
      <c r="F2163" s="130"/>
      <c r="G2163" s="14"/>
      <c r="H2163" s="14"/>
      <c r="I2163" s="14"/>
      <c r="J2163" s="14"/>
      <c r="K2163" s="14"/>
      <c r="L2163" s="14"/>
      <c r="M2163" s="14"/>
    </row>
    <row r="2164" spans="2:13" s="7" customFormat="1" ht="13.5">
      <c r="B2164" s="30"/>
      <c r="C2164" s="30"/>
      <c r="D2164" s="31"/>
      <c r="E2164" s="35"/>
      <c r="F2164" s="130"/>
      <c r="G2164" s="14"/>
      <c r="H2164" s="14"/>
      <c r="I2164" s="14"/>
      <c r="J2164" s="14"/>
      <c r="K2164" s="14"/>
      <c r="L2164" s="14"/>
      <c r="M2164" s="14"/>
    </row>
    <row r="2165" spans="2:13" s="7" customFormat="1" ht="13.5">
      <c r="B2165" s="30"/>
      <c r="C2165" s="30"/>
      <c r="D2165" s="31"/>
      <c r="E2165" s="35"/>
      <c r="F2165" s="130"/>
      <c r="G2165" s="14"/>
      <c r="H2165" s="14"/>
      <c r="I2165" s="14"/>
      <c r="J2165" s="14"/>
      <c r="K2165" s="14"/>
      <c r="L2165" s="14"/>
      <c r="M2165" s="14"/>
    </row>
    <row r="2166" spans="2:13" s="7" customFormat="1" ht="13.5">
      <c r="B2166" s="30"/>
      <c r="C2166" s="30"/>
      <c r="D2166" s="31"/>
      <c r="E2166" s="35"/>
      <c r="F2166" s="130"/>
      <c r="G2166" s="14"/>
      <c r="H2166" s="14"/>
      <c r="I2166" s="14"/>
      <c r="J2166" s="14"/>
      <c r="K2166" s="14"/>
      <c r="L2166" s="14"/>
      <c r="M2166" s="14"/>
    </row>
    <row r="2167" spans="2:13" s="7" customFormat="1" ht="13.5">
      <c r="B2167" s="30"/>
      <c r="C2167" s="30"/>
      <c r="D2167" s="31"/>
      <c r="E2167" s="35"/>
      <c r="F2167" s="130"/>
      <c r="G2167" s="14"/>
      <c r="H2167" s="14"/>
      <c r="I2167" s="14"/>
      <c r="J2167" s="14"/>
      <c r="K2167" s="14"/>
      <c r="L2167" s="14"/>
      <c r="M2167" s="14"/>
    </row>
    <row r="2168" spans="2:13" s="7" customFormat="1" ht="13.5">
      <c r="B2168" s="30"/>
      <c r="C2168" s="30"/>
      <c r="D2168" s="31"/>
      <c r="E2168" s="35"/>
      <c r="F2168" s="130"/>
      <c r="G2168" s="14"/>
      <c r="H2168" s="14"/>
      <c r="I2168" s="14"/>
      <c r="J2168" s="14"/>
      <c r="K2168" s="14"/>
      <c r="L2168" s="14"/>
      <c r="M2168" s="14"/>
    </row>
    <row r="2169" spans="2:13" s="7" customFormat="1" ht="13.5">
      <c r="B2169" s="30"/>
      <c r="C2169" s="30"/>
      <c r="D2169" s="31"/>
      <c r="E2169" s="35"/>
      <c r="F2169" s="130"/>
      <c r="G2169" s="14"/>
      <c r="H2169" s="14"/>
      <c r="I2169" s="14"/>
      <c r="J2169" s="14"/>
      <c r="K2169" s="14"/>
      <c r="L2169" s="14"/>
      <c r="M2169" s="14"/>
    </row>
    <row r="2170" spans="2:13" s="7" customFormat="1" ht="13.5">
      <c r="B2170" s="30"/>
      <c r="C2170" s="30"/>
      <c r="D2170" s="31"/>
      <c r="E2170" s="35"/>
      <c r="F2170" s="130"/>
      <c r="G2170" s="14"/>
      <c r="H2170" s="14"/>
      <c r="I2170" s="14"/>
      <c r="J2170" s="14"/>
      <c r="K2170" s="14"/>
      <c r="L2170" s="14"/>
      <c r="M2170" s="14"/>
    </row>
    <row r="2171" spans="2:13" s="7" customFormat="1" ht="13.5">
      <c r="B2171" s="30"/>
      <c r="C2171" s="30"/>
      <c r="D2171" s="31"/>
      <c r="E2171" s="35"/>
      <c r="F2171" s="130"/>
      <c r="G2171" s="14"/>
      <c r="H2171" s="14"/>
      <c r="I2171" s="14"/>
      <c r="J2171" s="14"/>
      <c r="K2171" s="14"/>
      <c r="L2171" s="14"/>
      <c r="M2171" s="14"/>
    </row>
    <row r="2172" spans="2:13" s="7" customFormat="1" ht="13.5">
      <c r="B2172" s="30"/>
      <c r="C2172" s="30"/>
      <c r="D2172" s="31"/>
      <c r="E2172" s="35"/>
      <c r="F2172" s="130"/>
      <c r="G2172" s="14"/>
      <c r="H2172" s="14"/>
      <c r="I2172" s="14"/>
      <c r="J2172" s="14"/>
      <c r="K2172" s="14"/>
      <c r="L2172" s="14"/>
      <c r="M2172" s="14"/>
    </row>
    <row r="2173" spans="2:13" s="7" customFormat="1" ht="13.5">
      <c r="B2173" s="30"/>
      <c r="C2173" s="30"/>
      <c r="D2173" s="31"/>
      <c r="E2173" s="35"/>
      <c r="F2173" s="130"/>
      <c r="G2173" s="14"/>
      <c r="H2173" s="14"/>
      <c r="I2173" s="14"/>
      <c r="J2173" s="14"/>
      <c r="K2173" s="14"/>
      <c r="L2173" s="14"/>
      <c r="M2173" s="14"/>
    </row>
    <row r="2174" spans="2:13" s="7" customFormat="1" ht="13.5">
      <c r="B2174" s="30"/>
      <c r="C2174" s="30"/>
      <c r="D2174" s="31"/>
      <c r="E2174" s="35"/>
      <c r="F2174" s="130"/>
      <c r="G2174" s="14"/>
      <c r="H2174" s="14"/>
      <c r="I2174" s="14"/>
      <c r="J2174" s="14"/>
      <c r="K2174" s="14"/>
      <c r="L2174" s="14"/>
      <c r="M2174" s="14"/>
    </row>
    <row r="2175" spans="2:13" s="7" customFormat="1" ht="13.5">
      <c r="B2175" s="30"/>
      <c r="C2175" s="30"/>
      <c r="D2175" s="31"/>
      <c r="E2175" s="35"/>
      <c r="F2175" s="130"/>
      <c r="G2175" s="14"/>
      <c r="H2175" s="14"/>
      <c r="I2175" s="14"/>
      <c r="J2175" s="14"/>
      <c r="K2175" s="14"/>
      <c r="L2175" s="14"/>
      <c r="M2175" s="14"/>
    </row>
    <row r="2176" spans="2:13" s="7" customFormat="1" ht="13.5">
      <c r="B2176" s="30"/>
      <c r="C2176" s="30"/>
      <c r="D2176" s="31"/>
      <c r="E2176" s="35"/>
      <c r="F2176" s="130"/>
      <c r="G2176" s="14"/>
      <c r="H2176" s="14"/>
      <c r="I2176" s="14"/>
      <c r="J2176" s="14"/>
      <c r="K2176" s="14"/>
      <c r="L2176" s="14"/>
      <c r="M2176" s="14"/>
    </row>
    <row r="2177" spans="2:13" s="7" customFormat="1" ht="13.5">
      <c r="B2177" s="30"/>
      <c r="C2177" s="30"/>
      <c r="D2177" s="31"/>
      <c r="E2177" s="35"/>
      <c r="F2177" s="130"/>
      <c r="G2177" s="14"/>
      <c r="H2177" s="14"/>
      <c r="I2177" s="14"/>
      <c r="J2177" s="14"/>
      <c r="K2177" s="14"/>
      <c r="L2177" s="14"/>
      <c r="M2177" s="14"/>
    </row>
    <row r="2178" spans="2:13" s="7" customFormat="1" ht="13.5">
      <c r="B2178" s="30"/>
      <c r="C2178" s="30"/>
      <c r="D2178" s="31"/>
      <c r="E2178" s="35"/>
      <c r="F2178" s="130"/>
      <c r="G2178" s="14"/>
      <c r="H2178" s="14"/>
      <c r="I2178" s="14"/>
      <c r="J2178" s="14"/>
      <c r="K2178" s="14"/>
      <c r="L2178" s="14"/>
      <c r="M2178" s="14"/>
    </row>
    <row r="2179" spans="2:13" s="7" customFormat="1" ht="13.5">
      <c r="B2179" s="30"/>
      <c r="C2179" s="30"/>
      <c r="D2179" s="31"/>
      <c r="E2179" s="35"/>
      <c r="F2179" s="130"/>
      <c r="G2179" s="14"/>
      <c r="H2179" s="14"/>
      <c r="I2179" s="14"/>
      <c r="J2179" s="14"/>
      <c r="K2179" s="14"/>
      <c r="L2179" s="14"/>
      <c r="M2179" s="14"/>
    </row>
    <row r="2180" spans="2:13" s="7" customFormat="1" ht="13.5">
      <c r="B2180" s="30"/>
      <c r="C2180" s="30"/>
      <c r="D2180" s="31"/>
      <c r="E2180" s="35"/>
      <c r="F2180" s="130"/>
      <c r="G2180" s="14"/>
      <c r="H2180" s="14"/>
      <c r="I2180" s="14"/>
      <c r="J2180" s="14"/>
      <c r="K2180" s="14"/>
      <c r="L2180" s="14"/>
      <c r="M2180" s="14"/>
    </row>
    <row r="2181" spans="2:13" s="7" customFormat="1" ht="13.5">
      <c r="B2181" s="30"/>
      <c r="C2181" s="30"/>
      <c r="D2181" s="31"/>
      <c r="E2181" s="35"/>
      <c r="F2181" s="130"/>
      <c r="G2181" s="14"/>
      <c r="H2181" s="14"/>
      <c r="I2181" s="14"/>
      <c r="J2181" s="14"/>
      <c r="K2181" s="14"/>
      <c r="L2181" s="14"/>
      <c r="M2181" s="14"/>
    </row>
    <row r="2182" spans="2:13" s="7" customFormat="1" ht="13.5">
      <c r="B2182" s="30"/>
      <c r="C2182" s="30"/>
      <c r="D2182" s="31"/>
      <c r="E2182" s="35"/>
      <c r="F2182" s="130"/>
      <c r="G2182" s="14"/>
      <c r="H2182" s="14"/>
      <c r="I2182" s="14"/>
      <c r="J2182" s="14"/>
      <c r="K2182" s="14"/>
      <c r="L2182" s="14"/>
      <c r="M2182" s="14"/>
    </row>
    <row r="2183" spans="2:13" s="7" customFormat="1" ht="13.5">
      <c r="B2183" s="30"/>
      <c r="C2183" s="30"/>
      <c r="D2183" s="31"/>
      <c r="E2183" s="35"/>
      <c r="F2183" s="130"/>
      <c r="G2183" s="14"/>
      <c r="H2183" s="14"/>
      <c r="I2183" s="14"/>
      <c r="J2183" s="14"/>
      <c r="K2183" s="14"/>
      <c r="L2183" s="14"/>
      <c r="M2183" s="14"/>
    </row>
    <row r="2184" spans="2:13" s="7" customFormat="1" ht="13.5">
      <c r="B2184" s="30"/>
      <c r="C2184" s="30"/>
      <c r="D2184" s="31"/>
      <c r="E2184" s="35"/>
      <c r="F2184" s="130"/>
      <c r="G2184" s="14"/>
      <c r="H2184" s="14"/>
      <c r="I2184" s="14"/>
      <c r="J2184" s="14"/>
      <c r="K2184" s="14"/>
      <c r="L2184" s="14"/>
      <c r="M2184" s="14"/>
    </row>
    <row r="2185" spans="2:13" s="7" customFormat="1" ht="13.5">
      <c r="B2185" s="30"/>
      <c r="C2185" s="30"/>
      <c r="D2185" s="31"/>
      <c r="E2185" s="35"/>
      <c r="F2185" s="130"/>
      <c r="G2185" s="14"/>
      <c r="H2185" s="14"/>
      <c r="I2185" s="14"/>
      <c r="J2185" s="14"/>
      <c r="K2185" s="14"/>
      <c r="L2185" s="14"/>
      <c r="M2185" s="14"/>
    </row>
    <row r="2186" spans="2:13" s="7" customFormat="1" ht="13.5">
      <c r="B2186" s="30"/>
      <c r="C2186" s="30"/>
      <c r="D2186" s="31"/>
      <c r="E2186" s="35"/>
      <c r="F2186" s="130"/>
      <c r="G2186" s="14"/>
      <c r="H2186" s="14"/>
      <c r="I2186" s="14"/>
      <c r="J2186" s="14"/>
      <c r="K2186" s="14"/>
      <c r="L2186" s="14"/>
      <c r="M2186" s="14"/>
    </row>
    <row r="2187" spans="2:13" s="7" customFormat="1" ht="13.5">
      <c r="B2187" s="30"/>
      <c r="C2187" s="30"/>
      <c r="D2187" s="31"/>
      <c r="E2187" s="35"/>
      <c r="F2187" s="130"/>
      <c r="G2187" s="14"/>
      <c r="H2187" s="14"/>
      <c r="I2187" s="14"/>
      <c r="J2187" s="14"/>
      <c r="K2187" s="14"/>
      <c r="L2187" s="14"/>
      <c r="M2187" s="14"/>
    </row>
    <row r="2188" spans="2:13" s="7" customFormat="1" ht="13.5">
      <c r="B2188" s="30"/>
      <c r="C2188" s="30"/>
      <c r="D2188" s="31"/>
      <c r="E2188" s="35"/>
      <c r="F2188" s="130"/>
      <c r="G2188" s="14"/>
      <c r="H2188" s="14"/>
      <c r="I2188" s="14"/>
      <c r="J2188" s="14"/>
      <c r="K2188" s="14"/>
      <c r="L2188" s="14"/>
      <c r="M2188" s="14"/>
    </row>
    <row r="2189" spans="2:13" s="7" customFormat="1" ht="13.5">
      <c r="B2189" s="30"/>
      <c r="C2189" s="30"/>
      <c r="D2189" s="31"/>
      <c r="E2189" s="35"/>
      <c r="F2189" s="130"/>
      <c r="G2189" s="14"/>
      <c r="H2189" s="14"/>
      <c r="I2189" s="14"/>
      <c r="J2189" s="14"/>
      <c r="K2189" s="14"/>
      <c r="L2189" s="14"/>
      <c r="M2189" s="14"/>
    </row>
    <row r="2190" spans="2:13" s="7" customFormat="1" ht="13.5">
      <c r="B2190" s="30"/>
      <c r="C2190" s="30"/>
      <c r="D2190" s="31"/>
      <c r="E2190" s="35"/>
      <c r="F2190" s="130"/>
      <c r="G2190" s="14"/>
      <c r="H2190" s="14"/>
      <c r="I2190" s="14"/>
      <c r="J2190" s="14"/>
      <c r="K2190" s="14"/>
      <c r="L2190" s="14"/>
      <c r="M2190" s="14"/>
    </row>
    <row r="2191" spans="2:13" s="7" customFormat="1" ht="13.5">
      <c r="B2191" s="30"/>
      <c r="C2191" s="30"/>
      <c r="D2191" s="31"/>
      <c r="E2191" s="35"/>
      <c r="F2191" s="130"/>
      <c r="G2191" s="14"/>
      <c r="H2191" s="14"/>
      <c r="I2191" s="14"/>
      <c r="J2191" s="14"/>
      <c r="K2191" s="14"/>
      <c r="L2191" s="14"/>
      <c r="M2191" s="14"/>
    </row>
    <row r="2192" spans="2:13" s="7" customFormat="1" ht="13.5">
      <c r="B2192" s="30"/>
      <c r="C2192" s="30"/>
      <c r="D2192" s="31"/>
      <c r="E2192" s="35"/>
      <c r="F2192" s="130"/>
      <c r="G2192" s="14"/>
      <c r="H2192" s="14"/>
      <c r="I2192" s="14"/>
      <c r="J2192" s="14"/>
      <c r="K2192" s="14"/>
      <c r="L2192" s="14"/>
      <c r="M2192" s="14"/>
    </row>
    <row r="2193" spans="2:13" s="7" customFormat="1" ht="13.5">
      <c r="B2193" s="30"/>
      <c r="C2193" s="30"/>
      <c r="D2193" s="31"/>
      <c r="E2193" s="35"/>
      <c r="F2193" s="130"/>
      <c r="G2193" s="14"/>
      <c r="H2193" s="14"/>
      <c r="I2193" s="14"/>
      <c r="J2193" s="14"/>
      <c r="K2193" s="14"/>
      <c r="L2193" s="14"/>
      <c r="M2193" s="14"/>
    </row>
    <row r="2194" spans="2:13" s="7" customFormat="1" ht="13.5">
      <c r="B2194" s="30"/>
      <c r="C2194" s="30"/>
      <c r="D2194" s="31"/>
      <c r="E2194" s="35"/>
      <c r="F2194" s="130"/>
      <c r="G2194" s="14"/>
      <c r="H2194" s="14"/>
      <c r="I2194" s="14"/>
      <c r="J2194" s="14"/>
      <c r="K2194" s="14"/>
      <c r="L2194" s="14"/>
      <c r="M2194" s="14"/>
    </row>
    <row r="2195" spans="2:13" s="7" customFormat="1" ht="13.5">
      <c r="B2195" s="30"/>
      <c r="C2195" s="30"/>
      <c r="D2195" s="31"/>
      <c r="E2195" s="35"/>
      <c r="F2195" s="130"/>
      <c r="G2195" s="14"/>
      <c r="H2195" s="14"/>
      <c r="I2195" s="14"/>
      <c r="J2195" s="14"/>
      <c r="K2195" s="14"/>
      <c r="L2195" s="14"/>
      <c r="M2195" s="14"/>
    </row>
    <row r="2196" spans="2:13" s="7" customFormat="1" ht="13.5">
      <c r="B2196" s="30"/>
      <c r="C2196" s="30"/>
      <c r="D2196" s="31"/>
      <c r="E2196" s="35"/>
      <c r="F2196" s="130"/>
      <c r="G2196" s="14"/>
      <c r="H2196" s="14"/>
      <c r="I2196" s="14"/>
      <c r="J2196" s="14"/>
      <c r="K2196" s="14"/>
      <c r="L2196" s="14"/>
      <c r="M2196" s="14"/>
    </row>
    <row r="2197" spans="2:13" s="7" customFormat="1" ht="13.5">
      <c r="B2197" s="30"/>
      <c r="C2197" s="30"/>
      <c r="D2197" s="31"/>
      <c r="E2197" s="35"/>
      <c r="F2197" s="130"/>
      <c r="G2197" s="14"/>
      <c r="H2197" s="14"/>
      <c r="I2197" s="14"/>
      <c r="J2197" s="14"/>
      <c r="K2197" s="14"/>
      <c r="L2197" s="14"/>
      <c r="M2197" s="14"/>
    </row>
    <row r="2198" spans="2:13" s="7" customFormat="1" ht="13.5">
      <c r="B2198" s="30"/>
      <c r="C2198" s="30"/>
      <c r="D2198" s="31"/>
      <c r="E2198" s="35"/>
      <c r="F2198" s="130"/>
      <c r="G2198" s="14"/>
      <c r="H2198" s="14"/>
      <c r="I2198" s="14"/>
      <c r="J2198" s="14"/>
      <c r="K2198" s="14"/>
      <c r="L2198" s="14"/>
      <c r="M2198" s="14"/>
    </row>
    <row r="2199" spans="2:13" s="7" customFormat="1" ht="13.5">
      <c r="B2199" s="30"/>
      <c r="C2199" s="30"/>
      <c r="D2199" s="31"/>
      <c r="E2199" s="35"/>
      <c r="F2199" s="130"/>
      <c r="G2199" s="14"/>
      <c r="H2199" s="14"/>
      <c r="I2199" s="14"/>
      <c r="J2199" s="14"/>
      <c r="K2199" s="14"/>
      <c r="L2199" s="14"/>
      <c r="M2199" s="14"/>
    </row>
    <row r="2200" spans="2:13" s="7" customFormat="1" ht="13.5">
      <c r="B2200" s="30"/>
      <c r="C2200" s="30"/>
      <c r="D2200" s="31"/>
      <c r="E2200" s="35"/>
      <c r="F2200" s="130"/>
      <c r="G2200" s="14"/>
      <c r="H2200" s="14"/>
      <c r="I2200" s="14"/>
      <c r="J2200" s="14"/>
      <c r="K2200" s="14"/>
      <c r="L2200" s="14"/>
      <c r="M2200" s="14"/>
    </row>
    <row r="2201" spans="2:13" s="7" customFormat="1" ht="13.5">
      <c r="B2201" s="30"/>
      <c r="C2201" s="30"/>
      <c r="D2201" s="31"/>
      <c r="E2201" s="35"/>
      <c r="F2201" s="130"/>
      <c r="G2201" s="14"/>
      <c r="H2201" s="14"/>
      <c r="I2201" s="14"/>
      <c r="J2201" s="14"/>
      <c r="K2201" s="14"/>
      <c r="L2201" s="14"/>
      <c r="M2201" s="14"/>
    </row>
    <row r="2202" spans="2:13" s="7" customFormat="1" ht="13.5">
      <c r="B2202" s="30"/>
      <c r="C2202" s="30"/>
      <c r="D2202" s="31"/>
      <c r="E2202" s="35"/>
      <c r="F2202" s="130"/>
      <c r="G2202" s="14"/>
      <c r="H2202" s="14"/>
      <c r="I2202" s="14"/>
      <c r="J2202" s="14"/>
      <c r="K2202" s="14"/>
      <c r="L2202" s="14"/>
      <c r="M2202" s="14"/>
    </row>
    <row r="2203" spans="2:13" s="7" customFormat="1" ht="13.5">
      <c r="B2203" s="30"/>
      <c r="C2203" s="30"/>
      <c r="D2203" s="31"/>
      <c r="E2203" s="35"/>
      <c r="F2203" s="130"/>
      <c r="G2203" s="14"/>
      <c r="H2203" s="14"/>
      <c r="I2203" s="14"/>
      <c r="J2203" s="14"/>
      <c r="K2203" s="14"/>
      <c r="L2203" s="14"/>
      <c r="M2203" s="14"/>
    </row>
    <row r="2204" spans="2:13" s="7" customFormat="1" ht="13.5">
      <c r="B2204" s="30"/>
      <c r="C2204" s="30"/>
      <c r="D2204" s="31"/>
      <c r="E2204" s="35"/>
      <c r="F2204" s="130"/>
      <c r="G2204" s="14"/>
      <c r="H2204" s="14"/>
      <c r="I2204" s="14"/>
      <c r="J2204" s="14"/>
      <c r="K2204" s="14"/>
      <c r="L2204" s="14"/>
      <c r="M2204" s="14"/>
    </row>
    <row r="2205" spans="2:13" s="7" customFormat="1" ht="13.5">
      <c r="B2205" s="30"/>
      <c r="C2205" s="30"/>
      <c r="D2205" s="31"/>
      <c r="E2205" s="35"/>
      <c r="F2205" s="130"/>
      <c r="G2205" s="14"/>
      <c r="H2205" s="14"/>
      <c r="I2205" s="14"/>
      <c r="J2205" s="14"/>
      <c r="K2205" s="14"/>
      <c r="L2205" s="14"/>
      <c r="M2205" s="14"/>
    </row>
    <row r="2206" spans="2:13" s="7" customFormat="1" ht="13.5">
      <c r="B2206" s="30"/>
      <c r="C2206" s="30"/>
      <c r="D2206" s="31"/>
      <c r="E2206" s="35"/>
      <c r="F2206" s="130"/>
      <c r="G2206" s="14"/>
      <c r="H2206" s="14"/>
      <c r="I2206" s="14"/>
      <c r="J2206" s="14"/>
      <c r="K2206" s="14"/>
      <c r="L2206" s="14"/>
      <c r="M2206" s="14"/>
    </row>
    <row r="2207" spans="2:13" s="7" customFormat="1" ht="13.5">
      <c r="B2207" s="30"/>
      <c r="C2207" s="30"/>
      <c r="D2207" s="31"/>
      <c r="E2207" s="35"/>
      <c r="F2207" s="130"/>
      <c r="G2207" s="14"/>
      <c r="H2207" s="14"/>
      <c r="I2207" s="14"/>
      <c r="J2207" s="14"/>
      <c r="K2207" s="14"/>
      <c r="L2207" s="14"/>
      <c r="M2207" s="14"/>
    </row>
    <row r="2208" spans="2:13" s="7" customFormat="1" ht="13.5">
      <c r="B2208" s="30"/>
      <c r="C2208" s="30"/>
      <c r="D2208" s="31"/>
      <c r="E2208" s="35"/>
      <c r="F2208" s="130"/>
      <c r="G2208" s="14"/>
      <c r="H2208" s="14"/>
      <c r="I2208" s="14"/>
      <c r="J2208" s="14"/>
      <c r="K2208" s="14"/>
      <c r="L2208" s="14"/>
      <c r="M2208" s="14"/>
    </row>
    <row r="2209" spans="2:13" s="7" customFormat="1" ht="13.5">
      <c r="B2209" s="30"/>
      <c r="C2209" s="30"/>
      <c r="D2209" s="31"/>
      <c r="E2209" s="35"/>
      <c r="F2209" s="130"/>
      <c r="G2209" s="14"/>
      <c r="H2209" s="14"/>
      <c r="I2209" s="14"/>
      <c r="J2209" s="14"/>
      <c r="K2209" s="14"/>
      <c r="L2209" s="14"/>
      <c r="M2209" s="14"/>
    </row>
    <row r="2210" spans="2:13" s="7" customFormat="1" ht="13.5">
      <c r="B2210" s="30"/>
      <c r="C2210" s="30"/>
      <c r="D2210" s="31"/>
      <c r="E2210" s="35"/>
      <c r="F2210" s="130"/>
      <c r="G2210" s="14"/>
      <c r="H2210" s="14"/>
      <c r="I2210" s="14"/>
      <c r="J2210" s="14"/>
      <c r="K2210" s="14"/>
      <c r="L2210" s="14"/>
      <c r="M2210" s="14"/>
    </row>
    <row r="2211" spans="2:13" s="7" customFormat="1" ht="13.5">
      <c r="B2211" s="30"/>
      <c r="C2211" s="30"/>
      <c r="D2211" s="31"/>
      <c r="E2211" s="35"/>
      <c r="F2211" s="130"/>
      <c r="G2211" s="14"/>
      <c r="H2211" s="14"/>
      <c r="I2211" s="14"/>
      <c r="J2211" s="14"/>
      <c r="K2211" s="14"/>
      <c r="L2211" s="14"/>
      <c r="M2211" s="14"/>
    </row>
    <row r="2212" spans="2:13" s="7" customFormat="1" ht="13.5">
      <c r="B2212" s="30"/>
      <c r="C2212" s="30"/>
      <c r="D2212" s="31"/>
      <c r="E2212" s="35"/>
      <c r="F2212" s="130"/>
      <c r="G2212" s="14"/>
      <c r="H2212" s="14"/>
      <c r="I2212" s="14"/>
      <c r="J2212" s="14"/>
      <c r="K2212" s="14"/>
      <c r="L2212" s="14"/>
      <c r="M2212" s="14"/>
    </row>
    <row r="2213" spans="2:13" s="7" customFormat="1" ht="13.5">
      <c r="B2213" s="30"/>
      <c r="C2213" s="30"/>
      <c r="D2213" s="31"/>
      <c r="E2213" s="35"/>
      <c r="F2213" s="130"/>
      <c r="G2213" s="14"/>
      <c r="H2213" s="14"/>
      <c r="I2213" s="14"/>
      <c r="J2213" s="14"/>
      <c r="K2213" s="14"/>
      <c r="L2213" s="14"/>
      <c r="M2213" s="14"/>
    </row>
    <row r="2214" spans="2:13" s="7" customFormat="1" ht="13.5">
      <c r="B2214" s="30"/>
      <c r="C2214" s="30"/>
      <c r="D2214" s="31"/>
      <c r="E2214" s="35"/>
      <c r="F2214" s="130"/>
      <c r="G2214" s="14"/>
      <c r="H2214" s="14"/>
      <c r="I2214" s="14"/>
      <c r="J2214" s="14"/>
      <c r="K2214" s="14"/>
      <c r="L2214" s="14"/>
      <c r="M2214" s="14"/>
    </row>
    <row r="2215" spans="2:13" s="7" customFormat="1" ht="13.5">
      <c r="B2215" s="30"/>
      <c r="C2215" s="30"/>
      <c r="D2215" s="31"/>
      <c r="E2215" s="35"/>
      <c r="F2215" s="130"/>
      <c r="G2215" s="14"/>
      <c r="H2215" s="14"/>
      <c r="I2215" s="14"/>
      <c r="J2215" s="14"/>
      <c r="K2215" s="14"/>
      <c r="L2215" s="14"/>
      <c r="M2215" s="14"/>
    </row>
    <row r="2216" spans="2:13" s="7" customFormat="1" ht="13.5">
      <c r="B2216" s="30"/>
      <c r="C2216" s="30"/>
      <c r="D2216" s="31"/>
      <c r="E2216" s="35"/>
      <c r="F2216" s="130"/>
      <c r="G2216" s="14"/>
      <c r="H2216" s="14"/>
      <c r="I2216" s="14"/>
      <c r="J2216" s="14"/>
      <c r="K2216" s="14"/>
      <c r="L2216" s="14"/>
      <c r="M2216" s="14"/>
    </row>
    <row r="2217" spans="2:13" s="7" customFormat="1" ht="13.5">
      <c r="B2217" s="30"/>
      <c r="C2217" s="30"/>
      <c r="D2217" s="31"/>
      <c r="E2217" s="35"/>
      <c r="F2217" s="130"/>
      <c r="G2217" s="14"/>
      <c r="H2217" s="14"/>
      <c r="I2217" s="14"/>
      <c r="J2217" s="14"/>
      <c r="K2217" s="14"/>
      <c r="L2217" s="14"/>
      <c r="M2217" s="14"/>
    </row>
    <row r="2218" spans="2:13" s="7" customFormat="1" ht="13.5">
      <c r="B2218" s="30"/>
      <c r="C2218" s="30"/>
      <c r="D2218" s="31"/>
      <c r="E2218" s="35"/>
      <c r="F2218" s="130"/>
      <c r="G2218" s="14"/>
      <c r="H2218" s="14"/>
      <c r="I2218" s="14"/>
      <c r="J2218" s="14"/>
      <c r="K2218" s="14"/>
      <c r="L2218" s="14"/>
      <c r="M2218" s="14"/>
    </row>
    <row r="2219" spans="2:13" s="7" customFormat="1" ht="13.5">
      <c r="B2219" s="30"/>
      <c r="C2219" s="30"/>
      <c r="D2219" s="31"/>
      <c r="E2219" s="35"/>
      <c r="F2219" s="130"/>
      <c r="G2219" s="14"/>
      <c r="H2219" s="14"/>
      <c r="I2219" s="14"/>
      <c r="J2219" s="14"/>
      <c r="K2219" s="14"/>
      <c r="L2219" s="14"/>
      <c r="M2219" s="14"/>
    </row>
    <row r="2220" spans="2:13" s="7" customFormat="1" ht="13.5">
      <c r="B2220" s="30"/>
      <c r="C2220" s="30"/>
      <c r="D2220" s="31"/>
      <c r="E2220" s="35"/>
      <c r="F2220" s="130"/>
      <c r="G2220" s="14"/>
      <c r="H2220" s="14"/>
      <c r="I2220" s="14"/>
      <c r="J2220" s="14"/>
      <c r="K2220" s="14"/>
      <c r="L2220" s="14"/>
      <c r="M2220" s="14"/>
    </row>
    <row r="2221" spans="2:13" s="7" customFormat="1" ht="13.5">
      <c r="B2221" s="30"/>
      <c r="C2221" s="30"/>
      <c r="D2221" s="31"/>
      <c r="E2221" s="35"/>
      <c r="F2221" s="130"/>
      <c r="G2221" s="14"/>
      <c r="H2221" s="14"/>
      <c r="I2221" s="14"/>
      <c r="J2221" s="14"/>
      <c r="K2221" s="14"/>
      <c r="L2221" s="14"/>
      <c r="M2221" s="14"/>
    </row>
    <row r="2222" spans="2:13" s="7" customFormat="1" ht="13.5">
      <c r="B2222" s="30"/>
      <c r="C2222" s="30"/>
      <c r="D2222" s="31"/>
      <c r="E2222" s="35"/>
      <c r="F2222" s="130"/>
      <c r="G2222" s="14"/>
      <c r="H2222" s="14"/>
      <c r="I2222" s="14"/>
      <c r="J2222" s="14"/>
      <c r="K2222" s="14"/>
      <c r="L2222" s="14"/>
      <c r="M2222" s="14"/>
    </row>
    <row r="2223" spans="2:13" s="7" customFormat="1" ht="13.5">
      <c r="B2223" s="30"/>
      <c r="C2223" s="30"/>
      <c r="D2223" s="31"/>
      <c r="E2223" s="35"/>
      <c r="F2223" s="130"/>
      <c r="G2223" s="14"/>
      <c r="H2223" s="14"/>
      <c r="I2223" s="14"/>
      <c r="J2223" s="14"/>
      <c r="K2223" s="14"/>
      <c r="L2223" s="14"/>
      <c r="M2223" s="14"/>
    </row>
    <row r="2224" spans="2:13" s="7" customFormat="1" ht="13.5">
      <c r="B2224" s="30"/>
      <c r="C2224" s="30"/>
      <c r="D2224" s="31"/>
      <c r="E2224" s="35"/>
      <c r="F2224" s="130"/>
      <c r="G2224" s="14"/>
      <c r="H2224" s="14"/>
      <c r="I2224" s="14"/>
      <c r="J2224" s="14"/>
      <c r="K2224" s="14"/>
      <c r="L2224" s="14"/>
      <c r="M2224" s="14"/>
    </row>
    <row r="2225" spans="2:13" s="7" customFormat="1" ht="13.5">
      <c r="B2225" s="30"/>
      <c r="C2225" s="30"/>
      <c r="D2225" s="31"/>
      <c r="E2225" s="35"/>
      <c r="F2225" s="130"/>
      <c r="G2225" s="14"/>
      <c r="H2225" s="14"/>
      <c r="I2225" s="14"/>
      <c r="J2225" s="14"/>
      <c r="K2225" s="14"/>
      <c r="L2225" s="14"/>
      <c r="M2225" s="14"/>
    </row>
    <row r="2226" spans="2:13" s="7" customFormat="1" ht="13.5">
      <c r="B2226" s="30"/>
      <c r="C2226" s="30"/>
      <c r="D2226" s="31"/>
      <c r="E2226" s="35"/>
      <c r="F2226" s="130"/>
      <c r="G2226" s="14"/>
      <c r="H2226" s="14"/>
      <c r="I2226" s="14"/>
      <c r="J2226" s="14"/>
      <c r="K2226" s="14"/>
      <c r="L2226" s="14"/>
      <c r="M2226" s="14"/>
    </row>
    <row r="2227" spans="2:13" s="7" customFormat="1" ht="13.5">
      <c r="B2227" s="30"/>
      <c r="C2227" s="30"/>
      <c r="D2227" s="31"/>
      <c r="E2227" s="35"/>
      <c r="F2227" s="130"/>
      <c r="G2227" s="14"/>
      <c r="H2227" s="14"/>
      <c r="I2227" s="14"/>
      <c r="J2227" s="14"/>
      <c r="K2227" s="14"/>
      <c r="L2227" s="14"/>
      <c r="M2227" s="14"/>
    </row>
    <row r="2228" spans="2:13" s="7" customFormat="1" ht="13.5">
      <c r="B2228" s="30"/>
      <c r="C2228" s="30"/>
      <c r="D2228" s="31"/>
      <c r="E2228" s="35"/>
      <c r="F2228" s="130"/>
      <c r="G2228" s="14"/>
      <c r="H2228" s="14"/>
      <c r="I2228" s="14"/>
      <c r="J2228" s="14"/>
      <c r="K2228" s="14"/>
      <c r="L2228" s="14"/>
      <c r="M2228" s="14"/>
    </row>
    <row r="2229" spans="2:13" s="7" customFormat="1" ht="13.5">
      <c r="B2229" s="30"/>
      <c r="C2229" s="30"/>
      <c r="D2229" s="31"/>
      <c r="E2229" s="35"/>
      <c r="F2229" s="130"/>
      <c r="G2229" s="14"/>
      <c r="H2229" s="14"/>
      <c r="I2229" s="14"/>
      <c r="J2229" s="14"/>
      <c r="K2229" s="14"/>
      <c r="L2229" s="14"/>
      <c r="M2229" s="14"/>
    </row>
    <row r="2230" spans="2:13" s="7" customFormat="1" ht="13.5">
      <c r="B2230" s="30"/>
      <c r="C2230" s="30"/>
      <c r="D2230" s="31"/>
      <c r="E2230" s="35"/>
      <c r="F2230" s="130"/>
      <c r="G2230" s="14"/>
      <c r="H2230" s="14"/>
      <c r="I2230" s="14"/>
      <c r="J2230" s="14"/>
      <c r="K2230" s="14"/>
      <c r="L2230" s="14"/>
      <c r="M2230" s="14"/>
    </row>
    <row r="2231" spans="2:13" s="7" customFormat="1" ht="13.5">
      <c r="B2231" s="30"/>
      <c r="C2231" s="30"/>
      <c r="D2231" s="31"/>
      <c r="E2231" s="35"/>
      <c r="F2231" s="130"/>
      <c r="G2231" s="14"/>
      <c r="H2231" s="14"/>
      <c r="I2231" s="14"/>
      <c r="J2231" s="14"/>
      <c r="K2231" s="14"/>
      <c r="L2231" s="14"/>
      <c r="M2231" s="14"/>
    </row>
    <row r="2232" spans="2:13" s="7" customFormat="1" ht="13.5">
      <c r="B2232" s="30"/>
      <c r="C2232" s="30"/>
      <c r="D2232" s="31"/>
      <c r="E2232" s="35"/>
      <c r="F2232" s="130"/>
      <c r="G2232" s="14"/>
      <c r="H2232" s="14"/>
      <c r="I2232" s="14"/>
      <c r="J2232" s="14"/>
      <c r="K2232" s="14"/>
      <c r="L2232" s="14"/>
      <c r="M2232" s="14"/>
    </row>
    <row r="2233" spans="2:13" s="7" customFormat="1" ht="13.5">
      <c r="B2233" s="30"/>
      <c r="C2233" s="30"/>
      <c r="D2233" s="31"/>
      <c r="E2233" s="35"/>
      <c r="F2233" s="130"/>
      <c r="G2233" s="14"/>
      <c r="H2233" s="14"/>
      <c r="I2233" s="14"/>
      <c r="J2233" s="14"/>
      <c r="K2233" s="14"/>
      <c r="L2233" s="14"/>
      <c r="M2233" s="14"/>
    </row>
    <row r="2234" spans="2:13" s="7" customFormat="1" ht="13.5">
      <c r="B2234" s="30"/>
      <c r="C2234" s="30"/>
      <c r="D2234" s="31"/>
      <c r="E2234" s="35"/>
      <c r="F2234" s="130"/>
      <c r="G2234" s="14"/>
      <c r="H2234" s="14"/>
      <c r="I2234" s="14"/>
      <c r="J2234" s="14"/>
      <c r="K2234" s="14"/>
      <c r="L2234" s="14"/>
      <c r="M2234" s="14"/>
    </row>
    <row r="2235" spans="2:13" s="7" customFormat="1" ht="13.5">
      <c r="B2235" s="30"/>
      <c r="C2235" s="30"/>
      <c r="D2235" s="31"/>
      <c r="E2235" s="35"/>
      <c r="F2235" s="130"/>
      <c r="G2235" s="14"/>
      <c r="H2235" s="14"/>
      <c r="I2235" s="14"/>
      <c r="J2235" s="14"/>
      <c r="K2235" s="14"/>
      <c r="L2235" s="14"/>
      <c r="M2235" s="14"/>
    </row>
    <row r="2236" spans="2:13" s="7" customFormat="1" ht="13.5">
      <c r="B2236" s="30"/>
      <c r="C2236" s="30"/>
      <c r="D2236" s="31"/>
      <c r="E2236" s="35"/>
      <c r="F2236" s="130"/>
      <c r="G2236" s="14"/>
      <c r="H2236" s="14"/>
      <c r="I2236" s="14"/>
      <c r="J2236" s="14"/>
      <c r="K2236" s="14"/>
      <c r="L2236" s="14"/>
      <c r="M2236" s="14"/>
    </row>
    <row r="2237" spans="2:13" s="7" customFormat="1" ht="13.5">
      <c r="B2237" s="30"/>
      <c r="C2237" s="30"/>
      <c r="D2237" s="31"/>
      <c r="E2237" s="35"/>
      <c r="F2237" s="130"/>
      <c r="G2237" s="14"/>
      <c r="H2237" s="14"/>
      <c r="I2237" s="14"/>
      <c r="J2237" s="14"/>
      <c r="K2237" s="14"/>
      <c r="L2237" s="14"/>
      <c r="M2237" s="14"/>
    </row>
    <row r="2238" spans="2:13" s="7" customFormat="1" ht="13.5">
      <c r="B2238" s="30"/>
      <c r="C2238" s="30"/>
      <c r="D2238" s="31"/>
      <c r="E2238" s="35"/>
      <c r="F2238" s="130"/>
      <c r="G2238" s="14"/>
      <c r="H2238" s="14"/>
      <c r="I2238" s="14"/>
      <c r="J2238" s="14"/>
      <c r="K2238" s="14"/>
      <c r="L2238" s="14"/>
      <c r="M2238" s="14"/>
    </row>
    <row r="2239" spans="2:13" s="7" customFormat="1" ht="13.5">
      <c r="B2239" s="30"/>
      <c r="C2239" s="30"/>
      <c r="D2239" s="31"/>
      <c r="E2239" s="35"/>
      <c r="F2239" s="130"/>
      <c r="G2239" s="14"/>
      <c r="H2239" s="14"/>
      <c r="I2239" s="14"/>
      <c r="J2239" s="14"/>
      <c r="K2239" s="14"/>
      <c r="L2239" s="14"/>
      <c r="M2239" s="14"/>
    </row>
    <row r="2240" spans="2:13" s="7" customFormat="1" ht="13.5">
      <c r="B2240" s="30"/>
      <c r="C2240" s="30"/>
      <c r="D2240" s="31"/>
      <c r="E2240" s="35"/>
      <c r="F2240" s="130"/>
      <c r="G2240" s="14"/>
      <c r="H2240" s="14"/>
      <c r="I2240" s="14"/>
      <c r="J2240" s="14"/>
      <c r="K2240" s="14"/>
      <c r="L2240" s="14"/>
      <c r="M2240" s="14"/>
    </row>
    <row r="2241" spans="2:13" s="7" customFormat="1" ht="13.5">
      <c r="B2241" s="30"/>
      <c r="C2241" s="30"/>
      <c r="D2241" s="31"/>
      <c r="E2241" s="35"/>
      <c r="F2241" s="130"/>
      <c r="G2241" s="14"/>
      <c r="H2241" s="14"/>
      <c r="I2241" s="14"/>
      <c r="J2241" s="14"/>
      <c r="K2241" s="14"/>
      <c r="L2241" s="14"/>
      <c r="M2241" s="14"/>
    </row>
    <row r="2242" spans="2:13" s="7" customFormat="1" ht="13.5">
      <c r="B2242" s="30"/>
      <c r="C2242" s="30"/>
      <c r="D2242" s="31"/>
      <c r="E2242" s="35"/>
      <c r="F2242" s="130"/>
      <c r="G2242" s="14"/>
      <c r="H2242" s="14"/>
      <c r="I2242" s="14"/>
      <c r="J2242" s="14"/>
      <c r="K2242" s="14"/>
      <c r="L2242" s="14"/>
      <c r="M2242" s="14"/>
    </row>
    <row r="2243" spans="2:13" s="7" customFormat="1" ht="13.5">
      <c r="B2243" s="30"/>
      <c r="C2243" s="30"/>
      <c r="D2243" s="31"/>
      <c r="E2243" s="35"/>
      <c r="F2243" s="130"/>
      <c r="G2243" s="14"/>
      <c r="H2243" s="14"/>
      <c r="I2243" s="14"/>
      <c r="J2243" s="14"/>
      <c r="K2243" s="14"/>
      <c r="L2243" s="14"/>
      <c r="M2243" s="14"/>
    </row>
    <row r="2244" spans="2:13" s="7" customFormat="1" ht="13.5">
      <c r="B2244" s="30"/>
      <c r="C2244" s="30"/>
      <c r="D2244" s="31"/>
      <c r="E2244" s="35"/>
      <c r="F2244" s="130"/>
      <c r="G2244" s="14"/>
      <c r="H2244" s="14"/>
      <c r="I2244" s="14"/>
      <c r="J2244" s="14"/>
      <c r="K2244" s="14"/>
      <c r="L2244" s="14"/>
      <c r="M2244" s="14"/>
    </row>
    <row r="2245" spans="2:13" s="7" customFormat="1" ht="13.5">
      <c r="B2245" s="30"/>
      <c r="C2245" s="30"/>
      <c r="D2245" s="31"/>
      <c r="E2245" s="35"/>
      <c r="F2245" s="130"/>
      <c r="G2245" s="14"/>
      <c r="H2245" s="14"/>
      <c r="I2245" s="14"/>
      <c r="J2245" s="14"/>
      <c r="K2245" s="14"/>
      <c r="L2245" s="14"/>
      <c r="M2245" s="14"/>
    </row>
    <row r="2246" spans="2:13" s="7" customFormat="1" ht="13.5">
      <c r="B2246" s="30"/>
      <c r="C2246" s="30"/>
      <c r="D2246" s="31"/>
      <c r="E2246" s="35"/>
      <c r="F2246" s="130"/>
      <c r="G2246" s="14"/>
      <c r="H2246" s="14"/>
      <c r="I2246" s="14"/>
      <c r="J2246" s="14"/>
      <c r="K2246" s="14"/>
      <c r="L2246" s="14"/>
      <c r="M2246" s="14"/>
    </row>
    <row r="2247" spans="2:13" s="7" customFormat="1" ht="13.5">
      <c r="B2247" s="30"/>
      <c r="C2247" s="30"/>
      <c r="D2247" s="31"/>
      <c r="E2247" s="35"/>
      <c r="F2247" s="130"/>
      <c r="G2247" s="14"/>
      <c r="H2247" s="14"/>
      <c r="I2247" s="14"/>
      <c r="J2247" s="14"/>
      <c r="K2247" s="14"/>
      <c r="L2247" s="14"/>
      <c r="M2247" s="14"/>
    </row>
    <row r="2248" spans="2:13" s="7" customFormat="1" ht="13.5">
      <c r="B2248" s="30"/>
      <c r="C2248" s="30"/>
      <c r="D2248" s="31"/>
      <c r="E2248" s="35"/>
      <c r="F2248" s="130"/>
      <c r="G2248" s="14"/>
      <c r="H2248" s="14"/>
      <c r="I2248" s="14"/>
      <c r="J2248" s="14"/>
      <c r="K2248" s="14"/>
      <c r="L2248" s="14"/>
      <c r="M2248" s="14"/>
    </row>
    <row r="2249" spans="2:13" s="7" customFormat="1" ht="13.5">
      <c r="B2249" s="30"/>
      <c r="C2249" s="30"/>
      <c r="D2249" s="31"/>
      <c r="E2249" s="35"/>
      <c r="F2249" s="130"/>
      <c r="G2249" s="14"/>
      <c r="H2249" s="14"/>
      <c r="I2249" s="14"/>
      <c r="J2249" s="14"/>
      <c r="K2249" s="14"/>
      <c r="L2249" s="14"/>
      <c r="M2249" s="14"/>
    </row>
    <row r="2250" spans="2:13" s="7" customFormat="1" ht="13.5">
      <c r="B2250" s="30"/>
      <c r="C2250" s="30"/>
      <c r="D2250" s="31"/>
      <c r="E2250" s="35"/>
      <c r="F2250" s="130"/>
      <c r="G2250" s="14"/>
      <c r="H2250" s="14"/>
      <c r="I2250" s="14"/>
      <c r="J2250" s="14"/>
      <c r="K2250" s="14"/>
      <c r="L2250" s="14"/>
      <c r="M2250" s="14"/>
    </row>
    <row r="2251" spans="2:13" s="7" customFormat="1" ht="13.5">
      <c r="B2251" s="30"/>
      <c r="C2251" s="30"/>
      <c r="D2251" s="31"/>
      <c r="E2251" s="35"/>
      <c r="F2251" s="130"/>
      <c r="G2251" s="14"/>
      <c r="H2251" s="14"/>
      <c r="I2251" s="14"/>
      <c r="J2251" s="14"/>
      <c r="K2251" s="14"/>
      <c r="L2251" s="14"/>
      <c r="M2251" s="14"/>
    </row>
    <row r="2252" spans="2:13" s="7" customFormat="1" ht="13.5">
      <c r="B2252" s="30"/>
      <c r="C2252" s="30"/>
      <c r="D2252" s="31"/>
      <c r="E2252" s="35"/>
      <c r="F2252" s="130"/>
      <c r="G2252" s="14"/>
      <c r="H2252" s="14"/>
      <c r="I2252" s="14"/>
      <c r="J2252" s="14"/>
      <c r="K2252" s="14"/>
      <c r="L2252" s="14"/>
      <c r="M2252" s="14"/>
    </row>
    <row r="2253" spans="2:13" s="7" customFormat="1" ht="13.5">
      <c r="B2253" s="30"/>
      <c r="C2253" s="30"/>
      <c r="D2253" s="31"/>
      <c r="E2253" s="35"/>
      <c r="F2253" s="130"/>
      <c r="G2253" s="14"/>
      <c r="H2253" s="14"/>
      <c r="I2253" s="14"/>
      <c r="J2253" s="14"/>
      <c r="K2253" s="14"/>
      <c r="L2253" s="14"/>
      <c r="M2253" s="14"/>
    </row>
    <row r="2254" spans="2:13" s="7" customFormat="1" ht="13.5">
      <c r="B2254" s="30"/>
      <c r="C2254" s="30"/>
      <c r="D2254" s="31"/>
      <c r="E2254" s="35"/>
      <c r="F2254" s="130"/>
      <c r="G2254" s="14"/>
      <c r="H2254" s="14"/>
      <c r="I2254" s="14"/>
      <c r="J2254" s="14"/>
      <c r="K2254" s="14"/>
      <c r="L2254" s="14"/>
      <c r="M2254" s="14"/>
    </row>
    <row r="2255" spans="2:13" s="7" customFormat="1" ht="13.5">
      <c r="B2255" s="30"/>
      <c r="C2255" s="30"/>
      <c r="D2255" s="31"/>
      <c r="E2255" s="35"/>
      <c r="F2255" s="130"/>
      <c r="G2255" s="14"/>
      <c r="H2255" s="14"/>
      <c r="I2255" s="14"/>
      <c r="J2255" s="14"/>
      <c r="K2255" s="14"/>
      <c r="L2255" s="14"/>
      <c r="M2255" s="14"/>
    </row>
    <row r="2256" spans="2:13" s="7" customFormat="1" ht="13.5">
      <c r="B2256" s="30"/>
      <c r="C2256" s="30"/>
      <c r="D2256" s="31"/>
      <c r="E2256" s="35"/>
      <c r="F2256" s="130"/>
      <c r="G2256" s="14"/>
      <c r="H2256" s="14"/>
      <c r="I2256" s="14"/>
      <c r="J2256" s="14"/>
      <c r="K2256" s="14"/>
      <c r="L2256" s="14"/>
      <c r="M2256" s="14"/>
    </row>
    <row r="2257" spans="2:13" s="7" customFormat="1" ht="13.5">
      <c r="B2257" s="30"/>
      <c r="C2257" s="30"/>
      <c r="D2257" s="31"/>
      <c r="E2257" s="35"/>
      <c r="F2257" s="130"/>
      <c r="G2257" s="14"/>
      <c r="H2257" s="14"/>
      <c r="I2257" s="14"/>
      <c r="J2257" s="14"/>
      <c r="K2257" s="14"/>
      <c r="L2257" s="14"/>
      <c r="M2257" s="14"/>
    </row>
    <row r="2258" spans="2:13" s="7" customFormat="1" ht="13.5">
      <c r="B2258" s="30"/>
      <c r="C2258" s="30"/>
      <c r="D2258" s="31"/>
      <c r="E2258" s="35"/>
      <c r="F2258" s="130"/>
      <c r="G2258" s="14"/>
      <c r="H2258" s="14"/>
      <c r="I2258" s="14"/>
      <c r="J2258" s="14"/>
      <c r="K2258" s="14"/>
      <c r="L2258" s="14"/>
      <c r="M2258" s="14"/>
    </row>
    <row r="2259" spans="2:13" s="7" customFormat="1" ht="13.5">
      <c r="B2259" s="30"/>
      <c r="C2259" s="30"/>
      <c r="D2259" s="31"/>
      <c r="E2259" s="35"/>
      <c r="F2259" s="130"/>
      <c r="G2259" s="14"/>
      <c r="H2259" s="14"/>
      <c r="I2259" s="14"/>
      <c r="J2259" s="14"/>
      <c r="K2259" s="14"/>
      <c r="L2259" s="14"/>
      <c r="M2259" s="14"/>
    </row>
    <row r="2260" spans="2:13" s="7" customFormat="1" ht="13.5">
      <c r="B2260" s="30"/>
      <c r="C2260" s="30"/>
      <c r="D2260" s="31"/>
      <c r="E2260" s="35"/>
      <c r="F2260" s="130"/>
      <c r="G2260" s="14"/>
      <c r="H2260" s="14"/>
      <c r="I2260" s="14"/>
      <c r="J2260" s="14"/>
      <c r="K2260" s="14"/>
      <c r="L2260" s="14"/>
      <c r="M2260" s="14"/>
    </row>
    <row r="2261" spans="2:13" s="7" customFormat="1" ht="13.5">
      <c r="B2261" s="30"/>
      <c r="C2261" s="30"/>
      <c r="D2261" s="31"/>
      <c r="E2261" s="35"/>
      <c r="F2261" s="130"/>
      <c r="G2261" s="14"/>
      <c r="H2261" s="14"/>
      <c r="I2261" s="14"/>
      <c r="J2261" s="14"/>
      <c r="K2261" s="14"/>
      <c r="L2261" s="14"/>
      <c r="M2261" s="14"/>
    </row>
    <row r="2262" spans="2:13" s="7" customFormat="1" ht="13.5">
      <c r="B2262" s="30"/>
      <c r="C2262" s="30"/>
      <c r="D2262" s="31"/>
      <c r="E2262" s="35"/>
      <c r="F2262" s="130"/>
      <c r="G2262" s="14"/>
      <c r="H2262" s="14"/>
      <c r="I2262" s="14"/>
      <c r="J2262" s="14"/>
      <c r="K2262" s="14"/>
      <c r="L2262" s="14"/>
      <c r="M2262" s="14"/>
    </row>
    <row r="2263" spans="2:13" s="7" customFormat="1" ht="13.5">
      <c r="B2263" s="30"/>
      <c r="C2263" s="30"/>
      <c r="D2263" s="31"/>
      <c r="E2263" s="35"/>
      <c r="F2263" s="130"/>
      <c r="G2263" s="14"/>
      <c r="H2263" s="14"/>
      <c r="I2263" s="14"/>
      <c r="J2263" s="14"/>
      <c r="K2263" s="14"/>
      <c r="L2263" s="14"/>
      <c r="M2263" s="14"/>
    </row>
    <row r="2264" spans="2:13" s="7" customFormat="1" ht="13.5">
      <c r="B2264" s="30"/>
      <c r="C2264" s="30"/>
      <c r="D2264" s="31"/>
      <c r="E2264" s="35"/>
      <c r="F2264" s="130"/>
      <c r="G2264" s="14"/>
      <c r="H2264" s="14"/>
      <c r="I2264" s="14"/>
      <c r="J2264" s="14"/>
      <c r="K2264" s="14"/>
      <c r="L2264" s="14"/>
      <c r="M2264" s="14"/>
    </row>
    <row r="2265" spans="2:13" s="7" customFormat="1" ht="13.5">
      <c r="B2265" s="30"/>
      <c r="C2265" s="30"/>
      <c r="D2265" s="31"/>
      <c r="E2265" s="35"/>
      <c r="F2265" s="130"/>
      <c r="G2265" s="14"/>
      <c r="H2265" s="14"/>
      <c r="I2265" s="14"/>
      <c r="J2265" s="14"/>
      <c r="K2265" s="14"/>
      <c r="L2265" s="14"/>
      <c r="M2265" s="14"/>
    </row>
    <row r="2266" spans="2:13" s="7" customFormat="1" ht="13.5">
      <c r="B2266" s="30"/>
      <c r="C2266" s="30"/>
      <c r="D2266" s="31"/>
      <c r="E2266" s="35"/>
      <c r="F2266" s="130"/>
      <c r="G2266" s="14"/>
      <c r="H2266" s="14"/>
      <c r="I2266" s="14"/>
      <c r="J2266" s="14"/>
      <c r="K2266" s="14"/>
      <c r="L2266" s="14"/>
      <c r="M2266" s="14"/>
    </row>
    <row r="2267" spans="2:13" s="7" customFormat="1" ht="13.5">
      <c r="B2267" s="30"/>
      <c r="C2267" s="30"/>
      <c r="D2267" s="31"/>
      <c r="E2267" s="35"/>
      <c r="F2267" s="130"/>
      <c r="G2267" s="14"/>
      <c r="H2267" s="14"/>
      <c r="I2267" s="14"/>
      <c r="J2267" s="14"/>
      <c r="K2267" s="14"/>
      <c r="L2267" s="14"/>
      <c r="M2267" s="14"/>
    </row>
    <row r="2268" spans="2:13" s="7" customFormat="1" ht="13.5">
      <c r="B2268" s="30"/>
      <c r="C2268" s="30"/>
      <c r="D2268" s="31"/>
      <c r="E2268" s="35"/>
      <c r="F2268" s="130"/>
      <c r="G2268" s="14"/>
      <c r="H2268" s="14"/>
      <c r="I2268" s="14"/>
      <c r="J2268" s="14"/>
      <c r="K2268" s="14"/>
      <c r="L2268" s="14"/>
      <c r="M2268" s="14"/>
    </row>
    <row r="2269" spans="2:13" s="7" customFormat="1" ht="13.5">
      <c r="B2269" s="30"/>
      <c r="C2269" s="30"/>
      <c r="D2269" s="31"/>
      <c r="E2269" s="35"/>
      <c r="F2269" s="130"/>
      <c r="G2269" s="14"/>
      <c r="H2269" s="14"/>
      <c r="I2269" s="14"/>
      <c r="J2269" s="14"/>
      <c r="K2269" s="14"/>
      <c r="L2269" s="14"/>
      <c r="M2269" s="14"/>
    </row>
    <row r="2270" spans="2:13" s="7" customFormat="1" ht="13.5">
      <c r="B2270" s="30"/>
      <c r="C2270" s="30"/>
      <c r="D2270" s="31"/>
      <c r="E2270" s="35"/>
      <c r="F2270" s="130"/>
      <c r="G2270" s="14"/>
      <c r="H2270" s="14"/>
      <c r="I2270" s="14"/>
      <c r="J2270" s="14"/>
      <c r="K2270" s="14"/>
      <c r="L2270" s="14"/>
      <c r="M2270" s="14"/>
    </row>
    <row r="2271" spans="2:13" s="7" customFormat="1" ht="13.5">
      <c r="B2271" s="30"/>
      <c r="C2271" s="30"/>
      <c r="D2271" s="31"/>
      <c r="E2271" s="35"/>
      <c r="F2271" s="130"/>
      <c r="G2271" s="14"/>
      <c r="H2271" s="14"/>
      <c r="I2271" s="14"/>
      <c r="J2271" s="14"/>
      <c r="K2271" s="14"/>
      <c r="L2271" s="14"/>
      <c r="M2271" s="14"/>
    </row>
    <row r="2272" spans="2:13" s="7" customFormat="1" ht="13.5">
      <c r="B2272" s="30"/>
      <c r="C2272" s="30"/>
      <c r="D2272" s="31"/>
      <c r="E2272" s="35"/>
      <c r="F2272" s="130"/>
      <c r="G2272" s="14"/>
      <c r="H2272" s="14"/>
      <c r="I2272" s="14"/>
      <c r="J2272" s="14"/>
      <c r="K2272" s="14"/>
      <c r="L2272" s="14"/>
      <c r="M2272" s="14"/>
    </row>
    <row r="2273" spans="2:13" s="7" customFormat="1" ht="13.5">
      <c r="B2273" s="30"/>
      <c r="C2273" s="30"/>
      <c r="D2273" s="31"/>
      <c r="E2273" s="35"/>
      <c r="F2273" s="130"/>
      <c r="G2273" s="14"/>
      <c r="H2273" s="14"/>
      <c r="I2273" s="14"/>
      <c r="J2273" s="14"/>
      <c r="K2273" s="14"/>
      <c r="L2273" s="14"/>
      <c r="M2273" s="14"/>
    </row>
    <row r="2274" spans="2:13" s="7" customFormat="1" ht="13.5">
      <c r="B2274" s="30"/>
      <c r="C2274" s="30"/>
      <c r="D2274" s="31"/>
      <c r="E2274" s="35"/>
      <c r="F2274" s="130"/>
      <c r="G2274" s="14"/>
      <c r="H2274" s="14"/>
      <c r="I2274" s="14"/>
      <c r="J2274" s="14"/>
      <c r="K2274" s="14"/>
      <c r="L2274" s="14"/>
      <c r="M2274" s="14"/>
    </row>
    <row r="2275" spans="2:13" s="7" customFormat="1" ht="13.5">
      <c r="B2275" s="30"/>
      <c r="C2275" s="30"/>
      <c r="D2275" s="31"/>
      <c r="E2275" s="35"/>
      <c r="F2275" s="130"/>
      <c r="G2275" s="14"/>
      <c r="H2275" s="14"/>
      <c r="I2275" s="14"/>
      <c r="J2275" s="14"/>
      <c r="K2275" s="14"/>
      <c r="L2275" s="14"/>
      <c r="M2275" s="14"/>
    </row>
    <row r="2276" spans="2:13" s="7" customFormat="1" ht="13.5">
      <c r="B2276" s="30"/>
      <c r="C2276" s="30"/>
      <c r="D2276" s="31"/>
      <c r="E2276" s="35"/>
      <c r="F2276" s="130"/>
      <c r="G2276" s="14"/>
      <c r="H2276" s="14"/>
      <c r="I2276" s="14"/>
      <c r="J2276" s="14"/>
      <c r="K2276" s="14"/>
      <c r="L2276" s="14"/>
      <c r="M2276" s="14"/>
    </row>
    <row r="2277" spans="2:13" s="7" customFormat="1" ht="13.5">
      <c r="B2277" s="30"/>
      <c r="C2277" s="30"/>
      <c r="D2277" s="31"/>
      <c r="E2277" s="35"/>
      <c r="F2277" s="130"/>
      <c r="G2277" s="14"/>
      <c r="H2277" s="14"/>
      <c r="I2277" s="14"/>
      <c r="J2277" s="14"/>
      <c r="K2277" s="14"/>
      <c r="L2277" s="14"/>
      <c r="M2277" s="14"/>
    </row>
    <row r="2278" spans="2:13" s="7" customFormat="1" ht="13.5">
      <c r="B2278" s="30"/>
      <c r="C2278" s="30"/>
      <c r="D2278" s="31"/>
      <c r="E2278" s="35"/>
      <c r="F2278" s="130"/>
      <c r="G2278" s="14"/>
      <c r="H2278" s="14"/>
      <c r="I2278" s="14"/>
      <c r="J2278" s="14"/>
      <c r="K2278" s="14"/>
      <c r="L2278" s="14"/>
      <c r="M2278" s="14"/>
    </row>
    <row r="2279" spans="2:13" s="7" customFormat="1" ht="13.5">
      <c r="B2279" s="30"/>
      <c r="C2279" s="30"/>
      <c r="D2279" s="31"/>
      <c r="E2279" s="35"/>
      <c r="F2279" s="130"/>
      <c r="G2279" s="14"/>
      <c r="H2279" s="14"/>
      <c r="I2279" s="14"/>
      <c r="J2279" s="14"/>
      <c r="K2279" s="14"/>
      <c r="L2279" s="14"/>
      <c r="M2279" s="14"/>
    </row>
    <row r="2280" spans="2:13" s="7" customFormat="1" ht="13.5">
      <c r="B2280" s="30"/>
      <c r="C2280" s="30"/>
      <c r="D2280" s="31"/>
      <c r="E2280" s="35"/>
      <c r="F2280" s="130"/>
      <c r="G2280" s="14"/>
      <c r="H2280" s="14"/>
      <c r="I2280" s="14"/>
      <c r="J2280" s="14"/>
      <c r="K2280" s="14"/>
      <c r="L2280" s="14"/>
      <c r="M2280" s="14"/>
    </row>
    <row r="2281" spans="2:13" s="7" customFormat="1" ht="13.5">
      <c r="B2281" s="30"/>
      <c r="C2281" s="30"/>
      <c r="D2281" s="31"/>
      <c r="E2281" s="35"/>
      <c r="F2281" s="130"/>
      <c r="G2281" s="14"/>
      <c r="H2281" s="14"/>
      <c r="I2281" s="14"/>
      <c r="J2281" s="14"/>
      <c r="K2281" s="14"/>
      <c r="L2281" s="14"/>
      <c r="M2281" s="14"/>
    </row>
    <row r="2282" spans="2:13" s="7" customFormat="1" ht="13.5">
      <c r="B2282" s="30"/>
      <c r="C2282" s="30"/>
      <c r="D2282" s="31"/>
      <c r="E2282" s="35"/>
      <c r="F2282" s="130"/>
      <c r="G2282" s="14"/>
      <c r="H2282" s="14"/>
      <c r="I2282" s="14"/>
      <c r="J2282" s="14"/>
      <c r="K2282" s="14"/>
      <c r="L2282" s="14"/>
      <c r="M2282" s="14"/>
    </row>
    <row r="2283" spans="2:13" s="7" customFormat="1" ht="13.5">
      <c r="B2283" s="30"/>
      <c r="C2283" s="30"/>
      <c r="D2283" s="31"/>
      <c r="E2283" s="35"/>
      <c r="F2283" s="130"/>
      <c r="G2283" s="14"/>
      <c r="H2283" s="14"/>
      <c r="I2283" s="14"/>
      <c r="J2283" s="14"/>
      <c r="K2283" s="14"/>
      <c r="L2283" s="14"/>
      <c r="M2283" s="14"/>
    </row>
    <row r="2284" spans="2:13" s="7" customFormat="1" ht="13.5">
      <c r="B2284" s="30"/>
      <c r="C2284" s="30"/>
      <c r="D2284" s="31"/>
      <c r="E2284" s="35"/>
      <c r="F2284" s="130"/>
      <c r="G2284" s="14"/>
      <c r="H2284" s="14"/>
      <c r="I2284" s="14"/>
      <c r="J2284" s="14"/>
      <c r="K2284" s="14"/>
      <c r="L2284" s="14"/>
      <c r="M2284" s="14"/>
    </row>
    <row r="2285" spans="2:13" s="7" customFormat="1" ht="13.5">
      <c r="B2285" s="30"/>
      <c r="C2285" s="30"/>
      <c r="D2285" s="31"/>
      <c r="E2285" s="35"/>
      <c r="F2285" s="130"/>
      <c r="G2285" s="14"/>
      <c r="H2285" s="14"/>
      <c r="I2285" s="14"/>
      <c r="J2285" s="14"/>
      <c r="K2285" s="14"/>
      <c r="L2285" s="14"/>
      <c r="M2285" s="14"/>
    </row>
    <row r="2286" spans="2:13" s="7" customFormat="1" ht="13.5">
      <c r="B2286" s="30"/>
      <c r="C2286" s="30"/>
      <c r="D2286" s="31"/>
      <c r="E2286" s="35"/>
      <c r="F2286" s="130"/>
      <c r="G2286" s="14"/>
      <c r="H2286" s="14"/>
      <c r="I2286" s="14"/>
      <c r="J2286" s="14"/>
      <c r="K2286" s="14"/>
      <c r="L2286" s="14"/>
      <c r="M2286" s="14"/>
    </row>
    <row r="2287" spans="2:13" s="7" customFormat="1" ht="13.5">
      <c r="B2287" s="30"/>
      <c r="C2287" s="30"/>
      <c r="D2287" s="31"/>
      <c r="E2287" s="35"/>
      <c r="F2287" s="130"/>
      <c r="G2287" s="14"/>
      <c r="H2287" s="14"/>
      <c r="I2287" s="14"/>
      <c r="J2287" s="14"/>
      <c r="K2287" s="14"/>
      <c r="L2287" s="14"/>
      <c r="M2287" s="14"/>
    </row>
    <row r="2288" spans="2:13" s="7" customFormat="1" ht="13.5">
      <c r="B2288" s="30"/>
      <c r="C2288" s="30"/>
      <c r="D2288" s="31"/>
      <c r="E2288" s="35"/>
      <c r="F2288" s="130"/>
      <c r="G2288" s="14"/>
      <c r="H2288" s="14"/>
      <c r="I2288" s="14"/>
      <c r="J2288" s="14"/>
      <c r="K2288" s="14"/>
      <c r="L2288" s="14"/>
      <c r="M2288" s="14"/>
    </row>
    <row r="2289" spans="2:13" s="7" customFormat="1" ht="13.5">
      <c r="B2289" s="30"/>
      <c r="C2289" s="30"/>
      <c r="D2289" s="31"/>
      <c r="E2289" s="35"/>
      <c r="F2289" s="130"/>
      <c r="G2289" s="14"/>
      <c r="H2289" s="14"/>
      <c r="I2289" s="14"/>
      <c r="J2289" s="14"/>
      <c r="K2289" s="14"/>
      <c r="L2289" s="14"/>
      <c r="M2289" s="14"/>
    </row>
    <row r="2290" spans="2:13" s="7" customFormat="1" ht="13.5">
      <c r="B2290" s="30"/>
      <c r="C2290" s="30"/>
      <c r="D2290" s="31"/>
      <c r="E2290" s="35"/>
      <c r="F2290" s="130"/>
      <c r="G2290" s="14"/>
      <c r="H2290" s="14"/>
      <c r="I2290" s="14"/>
      <c r="J2290" s="14"/>
      <c r="K2290" s="14"/>
      <c r="L2290" s="14"/>
      <c r="M2290" s="14"/>
    </row>
    <row r="2291" spans="2:13" s="7" customFormat="1" ht="13.5">
      <c r="B2291" s="30"/>
      <c r="C2291" s="30"/>
      <c r="D2291" s="31"/>
      <c r="E2291" s="35"/>
      <c r="F2291" s="130"/>
      <c r="G2291" s="14"/>
      <c r="H2291" s="14"/>
      <c r="I2291" s="14"/>
      <c r="J2291" s="14"/>
      <c r="K2291" s="14"/>
      <c r="L2291" s="14"/>
      <c r="M2291" s="14"/>
    </row>
    <row r="2292" spans="2:13" s="7" customFormat="1" ht="13.5">
      <c r="B2292" s="30"/>
      <c r="C2292" s="30"/>
      <c r="D2292" s="31"/>
      <c r="E2292" s="35"/>
      <c r="F2292" s="130"/>
      <c r="G2292" s="14"/>
      <c r="H2292" s="14"/>
      <c r="I2292" s="14"/>
      <c r="J2292" s="14"/>
      <c r="K2292" s="14"/>
      <c r="L2292" s="14"/>
      <c r="M2292" s="14"/>
    </row>
    <row r="2293" spans="2:13" s="7" customFormat="1" ht="13.5">
      <c r="B2293" s="30"/>
      <c r="C2293" s="30"/>
      <c r="D2293" s="31"/>
      <c r="E2293" s="35"/>
      <c r="F2293" s="130"/>
      <c r="G2293" s="14"/>
      <c r="H2293" s="14"/>
      <c r="I2293" s="14"/>
      <c r="J2293" s="14"/>
      <c r="K2293" s="14"/>
      <c r="L2293" s="14"/>
      <c r="M2293" s="14"/>
    </row>
    <row r="2294" spans="2:13" s="7" customFormat="1" ht="13.5">
      <c r="B2294" s="30"/>
      <c r="C2294" s="30"/>
      <c r="D2294" s="31"/>
      <c r="E2294" s="35"/>
      <c r="F2294" s="130"/>
      <c r="G2294" s="14"/>
      <c r="H2294" s="14"/>
      <c r="I2294" s="14"/>
      <c r="J2294" s="14"/>
      <c r="K2294" s="14"/>
      <c r="L2294" s="14"/>
      <c r="M2294" s="14"/>
    </row>
    <row r="2295" spans="2:13" s="7" customFormat="1" ht="13.5">
      <c r="B2295" s="30"/>
      <c r="C2295" s="30"/>
      <c r="D2295" s="31"/>
      <c r="E2295" s="35"/>
      <c r="F2295" s="130"/>
      <c r="G2295" s="14"/>
      <c r="H2295" s="14"/>
      <c r="I2295" s="14"/>
      <c r="J2295" s="14"/>
      <c r="K2295" s="14"/>
      <c r="L2295" s="14"/>
      <c r="M2295" s="14"/>
    </row>
    <row r="2296" spans="2:13" s="7" customFormat="1" ht="13.5">
      <c r="B2296" s="30"/>
      <c r="C2296" s="30"/>
      <c r="D2296" s="31"/>
      <c r="E2296" s="35"/>
      <c r="F2296" s="130"/>
      <c r="G2296" s="14"/>
      <c r="H2296" s="14"/>
      <c r="I2296" s="14"/>
      <c r="J2296" s="14"/>
      <c r="K2296" s="14"/>
      <c r="L2296" s="14"/>
      <c r="M2296" s="14"/>
    </row>
    <row r="2297" spans="2:13" s="7" customFormat="1" ht="13.5">
      <c r="B2297" s="30"/>
      <c r="C2297" s="30"/>
      <c r="D2297" s="31"/>
      <c r="E2297" s="35"/>
      <c r="F2297" s="130"/>
      <c r="G2297" s="14"/>
      <c r="H2297" s="14"/>
      <c r="I2297" s="14"/>
      <c r="J2297" s="14"/>
      <c r="K2297" s="14"/>
      <c r="L2297" s="14"/>
      <c r="M2297" s="14"/>
    </row>
    <row r="2298" spans="2:13" s="7" customFormat="1" ht="13.5">
      <c r="B2298" s="30"/>
      <c r="C2298" s="30"/>
      <c r="D2298" s="31"/>
      <c r="E2298" s="35"/>
      <c r="F2298" s="130"/>
      <c r="G2298" s="14"/>
      <c r="H2298" s="14"/>
      <c r="I2298" s="14"/>
      <c r="J2298" s="14"/>
      <c r="K2298" s="14"/>
      <c r="L2298" s="14"/>
      <c r="M2298" s="14"/>
    </row>
    <row r="2299" spans="2:13" s="7" customFormat="1" ht="13.5">
      <c r="B2299" s="30"/>
      <c r="C2299" s="30"/>
      <c r="D2299" s="31"/>
      <c r="E2299" s="35"/>
      <c r="F2299" s="130"/>
      <c r="G2299" s="14"/>
      <c r="H2299" s="14"/>
      <c r="I2299" s="14"/>
      <c r="J2299" s="14"/>
      <c r="K2299" s="14"/>
      <c r="L2299" s="14"/>
      <c r="M2299" s="14"/>
    </row>
    <row r="2300" spans="2:13" s="7" customFormat="1" ht="13.5">
      <c r="B2300" s="30"/>
      <c r="C2300" s="30"/>
      <c r="D2300" s="31"/>
      <c r="E2300" s="35"/>
      <c r="F2300" s="130"/>
      <c r="G2300" s="14"/>
      <c r="H2300" s="14"/>
      <c r="I2300" s="14"/>
      <c r="J2300" s="14"/>
      <c r="K2300" s="14"/>
      <c r="L2300" s="14"/>
      <c r="M2300" s="14"/>
    </row>
    <row r="2301" spans="2:13" s="7" customFormat="1" ht="13.5">
      <c r="B2301" s="30"/>
      <c r="C2301" s="30"/>
      <c r="D2301" s="31"/>
      <c r="E2301" s="35"/>
      <c r="F2301" s="130"/>
      <c r="G2301" s="14"/>
      <c r="H2301" s="14"/>
      <c r="I2301" s="14"/>
      <c r="J2301" s="14"/>
      <c r="K2301" s="14"/>
      <c r="L2301" s="14"/>
      <c r="M2301" s="14"/>
    </row>
    <row r="2302" spans="2:13" s="7" customFormat="1" ht="13.5">
      <c r="B2302" s="30"/>
      <c r="C2302" s="30"/>
      <c r="D2302" s="31"/>
      <c r="E2302" s="35"/>
      <c r="F2302" s="130"/>
      <c r="G2302" s="14"/>
      <c r="H2302" s="14"/>
      <c r="I2302" s="14"/>
      <c r="J2302" s="14"/>
      <c r="K2302" s="14"/>
      <c r="L2302" s="14"/>
      <c r="M2302" s="14"/>
    </row>
    <row r="2303" spans="2:13" s="7" customFormat="1" ht="13.5">
      <c r="B2303" s="30"/>
      <c r="C2303" s="30"/>
      <c r="D2303" s="31"/>
      <c r="E2303" s="35"/>
      <c r="F2303" s="130"/>
      <c r="G2303" s="14"/>
      <c r="H2303" s="14"/>
      <c r="I2303" s="14"/>
      <c r="J2303" s="14"/>
      <c r="K2303" s="14"/>
      <c r="L2303" s="14"/>
      <c r="M2303" s="14"/>
    </row>
    <row r="2304" spans="2:13" s="7" customFormat="1" ht="13.5">
      <c r="B2304" s="30"/>
      <c r="C2304" s="30"/>
      <c r="D2304" s="31"/>
      <c r="E2304" s="35"/>
      <c r="F2304" s="130"/>
      <c r="G2304" s="14"/>
      <c r="H2304" s="14"/>
      <c r="I2304" s="14"/>
      <c r="J2304" s="14"/>
      <c r="K2304" s="14"/>
      <c r="L2304" s="14"/>
      <c r="M2304" s="14"/>
    </row>
    <row r="2305" spans="2:13" s="7" customFormat="1" ht="13.5">
      <c r="B2305" s="30"/>
      <c r="C2305" s="30"/>
      <c r="D2305" s="31"/>
      <c r="E2305" s="35"/>
      <c r="F2305" s="130"/>
      <c r="G2305" s="14"/>
      <c r="H2305" s="14"/>
      <c r="I2305" s="14"/>
      <c r="J2305" s="14"/>
      <c r="K2305" s="14"/>
      <c r="L2305" s="14"/>
      <c r="M2305" s="14"/>
    </row>
    <row r="2306" spans="2:13" s="7" customFormat="1" ht="13.5">
      <c r="B2306" s="30"/>
      <c r="C2306" s="30"/>
      <c r="D2306" s="31"/>
      <c r="E2306" s="35"/>
      <c r="F2306" s="130"/>
      <c r="G2306" s="14"/>
      <c r="H2306" s="14"/>
      <c r="I2306" s="14"/>
      <c r="J2306" s="14"/>
      <c r="K2306" s="14"/>
      <c r="L2306" s="14"/>
      <c r="M2306" s="14"/>
    </row>
    <row r="2307" spans="2:13" s="7" customFormat="1" ht="13.5">
      <c r="B2307" s="30"/>
      <c r="C2307" s="30"/>
      <c r="D2307" s="31"/>
      <c r="E2307" s="35"/>
      <c r="F2307" s="130"/>
      <c r="G2307" s="14"/>
      <c r="H2307" s="14"/>
      <c r="I2307" s="14"/>
      <c r="J2307" s="14"/>
      <c r="K2307" s="14"/>
      <c r="L2307" s="14"/>
      <c r="M2307" s="14"/>
    </row>
    <row r="2308" spans="2:13" s="7" customFormat="1" ht="13.5">
      <c r="B2308" s="30"/>
      <c r="C2308" s="30"/>
      <c r="D2308" s="31"/>
      <c r="E2308" s="35"/>
      <c r="F2308" s="130"/>
      <c r="G2308" s="14"/>
      <c r="H2308" s="14"/>
      <c r="I2308" s="14"/>
      <c r="J2308" s="14"/>
      <c r="K2308" s="14"/>
      <c r="L2308" s="14"/>
      <c r="M2308" s="14"/>
    </row>
    <row r="2309" spans="2:13" s="7" customFormat="1" ht="13.5">
      <c r="B2309" s="30"/>
      <c r="C2309" s="30"/>
      <c r="D2309" s="31"/>
      <c r="E2309" s="35"/>
      <c r="F2309" s="130"/>
      <c r="G2309" s="14"/>
      <c r="H2309" s="14"/>
      <c r="I2309" s="14"/>
      <c r="J2309" s="14"/>
      <c r="K2309" s="14"/>
      <c r="L2309" s="14"/>
      <c r="M2309" s="14"/>
    </row>
    <row r="2310" spans="2:13" s="7" customFormat="1" ht="13.5">
      <c r="B2310" s="30"/>
      <c r="C2310" s="30"/>
      <c r="D2310" s="31"/>
      <c r="E2310" s="35"/>
      <c r="F2310" s="130"/>
      <c r="G2310" s="14"/>
      <c r="H2310" s="14"/>
      <c r="I2310" s="14"/>
      <c r="J2310" s="14"/>
      <c r="K2310" s="14"/>
      <c r="L2310" s="14"/>
      <c r="M2310" s="14"/>
    </row>
    <row r="2311" spans="2:13" s="7" customFormat="1" ht="13.5">
      <c r="B2311" s="30"/>
      <c r="C2311" s="30"/>
      <c r="D2311" s="31"/>
      <c r="E2311" s="35"/>
      <c r="F2311" s="130"/>
      <c r="G2311" s="14"/>
      <c r="H2311" s="14"/>
      <c r="I2311" s="14"/>
      <c r="J2311" s="14"/>
      <c r="K2311" s="14"/>
      <c r="L2311" s="14"/>
      <c r="M2311" s="14"/>
    </row>
    <row r="2312" spans="2:13" s="7" customFormat="1" ht="13.5">
      <c r="B2312" s="30"/>
      <c r="C2312" s="30"/>
      <c r="D2312" s="31"/>
      <c r="E2312" s="35"/>
      <c r="F2312" s="130"/>
      <c r="G2312" s="14"/>
      <c r="H2312" s="14"/>
      <c r="I2312" s="14"/>
      <c r="J2312" s="14"/>
      <c r="K2312" s="14"/>
      <c r="L2312" s="14"/>
      <c r="M2312" s="14"/>
    </row>
    <row r="2313" spans="2:13" s="7" customFormat="1" ht="13.5">
      <c r="B2313" s="30"/>
      <c r="C2313" s="30"/>
      <c r="D2313" s="31"/>
      <c r="E2313" s="35"/>
      <c r="F2313" s="130"/>
      <c r="G2313" s="14"/>
      <c r="H2313" s="14"/>
      <c r="I2313" s="14"/>
      <c r="J2313" s="14"/>
      <c r="K2313" s="14"/>
      <c r="L2313" s="14"/>
      <c r="M2313" s="14"/>
    </row>
    <row r="2314" spans="2:13" s="7" customFormat="1" ht="13.5">
      <c r="B2314" s="30"/>
      <c r="C2314" s="30"/>
      <c r="D2314" s="31"/>
      <c r="E2314" s="35"/>
      <c r="F2314" s="130"/>
      <c r="G2314" s="14"/>
      <c r="H2314" s="14"/>
      <c r="I2314" s="14"/>
      <c r="J2314" s="14"/>
      <c r="K2314" s="14"/>
      <c r="L2314" s="14"/>
      <c r="M2314" s="14"/>
    </row>
    <row r="2315" spans="2:13" s="7" customFormat="1" ht="13.5">
      <c r="B2315" s="30"/>
      <c r="C2315" s="30"/>
      <c r="D2315" s="31"/>
      <c r="E2315" s="35"/>
      <c r="F2315" s="130"/>
      <c r="G2315" s="14"/>
      <c r="H2315" s="14"/>
      <c r="I2315" s="14"/>
      <c r="J2315" s="14"/>
      <c r="K2315" s="14"/>
      <c r="L2315" s="14"/>
      <c r="M2315" s="14"/>
    </row>
    <row r="2316" spans="2:13" s="7" customFormat="1" ht="13.5">
      <c r="B2316" s="30"/>
      <c r="C2316" s="30"/>
      <c r="D2316" s="31"/>
      <c r="E2316" s="35"/>
      <c r="F2316" s="130"/>
      <c r="G2316" s="14"/>
      <c r="H2316" s="14"/>
      <c r="I2316" s="14"/>
      <c r="J2316" s="14"/>
      <c r="K2316" s="14"/>
      <c r="L2316" s="14"/>
      <c r="M2316" s="14"/>
    </row>
    <row r="2317" spans="2:13" s="7" customFormat="1" ht="13.5">
      <c r="B2317" s="30"/>
      <c r="C2317" s="30"/>
      <c r="D2317" s="31"/>
      <c r="E2317" s="35"/>
      <c r="F2317" s="130"/>
      <c r="G2317" s="14"/>
      <c r="H2317" s="14"/>
      <c r="I2317" s="14"/>
      <c r="J2317" s="14"/>
      <c r="K2317" s="14"/>
      <c r="L2317" s="14"/>
      <c r="M2317" s="14"/>
    </row>
    <row r="2318" spans="2:13" s="7" customFormat="1" ht="13.5">
      <c r="B2318" s="30"/>
      <c r="C2318" s="30"/>
      <c r="D2318" s="31"/>
      <c r="E2318" s="35"/>
      <c r="F2318" s="130"/>
      <c r="G2318" s="14"/>
      <c r="H2318" s="14"/>
      <c r="I2318" s="14"/>
      <c r="J2318" s="14"/>
      <c r="K2318" s="14"/>
      <c r="L2318" s="14"/>
      <c r="M2318" s="14"/>
    </row>
    <row r="2319" spans="2:13" s="7" customFormat="1" ht="13.5">
      <c r="B2319" s="30"/>
      <c r="C2319" s="30"/>
      <c r="D2319" s="31"/>
      <c r="E2319" s="35"/>
      <c r="F2319" s="130"/>
      <c r="G2319" s="14"/>
      <c r="H2319" s="14"/>
      <c r="I2319" s="14"/>
      <c r="J2319" s="14"/>
      <c r="K2319" s="14"/>
      <c r="L2319" s="14"/>
      <c r="M2319" s="14"/>
    </row>
    <row r="2320" spans="2:13" s="7" customFormat="1" ht="13.5">
      <c r="B2320" s="30"/>
      <c r="C2320" s="30"/>
      <c r="D2320" s="31"/>
      <c r="E2320" s="35"/>
      <c r="F2320" s="130"/>
      <c r="G2320" s="14"/>
      <c r="H2320" s="14"/>
      <c r="I2320" s="14"/>
      <c r="J2320" s="14"/>
      <c r="K2320" s="14"/>
      <c r="L2320" s="14"/>
      <c r="M2320" s="14"/>
    </row>
    <row r="2321" spans="2:13" s="7" customFormat="1" ht="13.5">
      <c r="B2321" s="30"/>
      <c r="C2321" s="30"/>
      <c r="D2321" s="31"/>
      <c r="E2321" s="35"/>
      <c r="F2321" s="130"/>
      <c r="G2321" s="14"/>
      <c r="H2321" s="14"/>
      <c r="I2321" s="14"/>
      <c r="J2321" s="14"/>
      <c r="K2321" s="14"/>
      <c r="L2321" s="14"/>
      <c r="M2321" s="14"/>
    </row>
    <row r="2322" spans="2:13" s="7" customFormat="1" ht="13.5">
      <c r="B2322" s="30"/>
      <c r="C2322" s="30"/>
      <c r="D2322" s="31"/>
      <c r="E2322" s="35"/>
      <c r="F2322" s="130"/>
      <c r="G2322" s="14"/>
      <c r="H2322" s="14"/>
      <c r="I2322" s="14"/>
      <c r="J2322" s="14"/>
      <c r="K2322" s="14"/>
      <c r="L2322" s="14"/>
      <c r="M2322" s="14"/>
    </row>
    <row r="2323" spans="2:13" s="7" customFormat="1" ht="13.5">
      <c r="B2323" s="30"/>
      <c r="C2323" s="30"/>
      <c r="D2323" s="31"/>
      <c r="E2323" s="35"/>
      <c r="F2323" s="130"/>
      <c r="G2323" s="14"/>
      <c r="H2323" s="14"/>
      <c r="I2323" s="14"/>
      <c r="J2323" s="14"/>
      <c r="K2323" s="14"/>
      <c r="L2323" s="14"/>
      <c r="M2323" s="14"/>
    </row>
    <row r="2324" spans="2:13" s="7" customFormat="1" ht="13.5">
      <c r="B2324" s="30"/>
      <c r="C2324" s="30"/>
      <c r="D2324" s="31"/>
      <c r="E2324" s="35"/>
      <c r="F2324" s="130"/>
      <c r="G2324" s="14"/>
      <c r="H2324" s="14"/>
      <c r="I2324" s="14"/>
      <c r="J2324" s="14"/>
      <c r="K2324" s="14"/>
      <c r="L2324" s="14"/>
      <c r="M2324" s="14"/>
    </row>
    <row r="2325" spans="2:13" s="7" customFormat="1" ht="13.5">
      <c r="B2325" s="30"/>
      <c r="C2325" s="30"/>
      <c r="D2325" s="31"/>
      <c r="E2325" s="35"/>
      <c r="F2325" s="130"/>
      <c r="G2325" s="14"/>
      <c r="H2325" s="14"/>
      <c r="I2325" s="14"/>
      <c r="J2325" s="14"/>
      <c r="K2325" s="14"/>
      <c r="L2325" s="14"/>
      <c r="M2325" s="14"/>
    </row>
    <row r="2326" spans="2:13" s="7" customFormat="1" ht="13.5">
      <c r="B2326" s="30"/>
      <c r="C2326" s="30"/>
      <c r="D2326" s="31"/>
      <c r="E2326" s="35"/>
      <c r="F2326" s="130"/>
      <c r="G2326" s="14"/>
      <c r="H2326" s="14"/>
      <c r="I2326" s="14"/>
      <c r="J2326" s="14"/>
      <c r="K2326" s="14"/>
      <c r="L2326" s="14"/>
      <c r="M2326" s="14"/>
    </row>
    <row r="2327" spans="2:13" s="7" customFormat="1" ht="13.5">
      <c r="B2327" s="30"/>
      <c r="C2327" s="30"/>
      <c r="D2327" s="31"/>
      <c r="E2327" s="35"/>
      <c r="F2327" s="130"/>
      <c r="G2327" s="14"/>
      <c r="H2327" s="14"/>
      <c r="I2327" s="14"/>
      <c r="J2327" s="14"/>
      <c r="K2327" s="14"/>
      <c r="L2327" s="14"/>
      <c r="M2327" s="14"/>
    </row>
    <row r="2328" spans="2:13" s="7" customFormat="1" ht="13.5">
      <c r="B2328" s="30"/>
      <c r="C2328" s="30"/>
      <c r="D2328" s="31"/>
      <c r="E2328" s="35"/>
      <c r="F2328" s="130"/>
      <c r="G2328" s="14"/>
      <c r="H2328" s="14"/>
      <c r="I2328" s="14"/>
      <c r="J2328" s="14"/>
      <c r="K2328" s="14"/>
      <c r="L2328" s="14"/>
      <c r="M2328" s="14"/>
    </row>
    <row r="2329" spans="2:13" s="7" customFormat="1" ht="13.5">
      <c r="B2329" s="30"/>
      <c r="C2329" s="30"/>
      <c r="D2329" s="31"/>
      <c r="E2329" s="35"/>
      <c r="F2329" s="130"/>
      <c r="G2329" s="14"/>
      <c r="H2329" s="14"/>
      <c r="I2329" s="14"/>
      <c r="J2329" s="14"/>
      <c r="K2329" s="14"/>
      <c r="L2329" s="14"/>
      <c r="M2329" s="14"/>
    </row>
    <row r="2330" spans="2:13" s="7" customFormat="1" ht="13.5">
      <c r="B2330" s="30"/>
      <c r="C2330" s="30"/>
      <c r="D2330" s="31"/>
      <c r="E2330" s="35"/>
      <c r="F2330" s="130"/>
      <c r="G2330" s="14"/>
      <c r="H2330" s="14"/>
      <c r="I2330" s="14"/>
      <c r="J2330" s="14"/>
      <c r="K2330" s="14"/>
      <c r="L2330" s="14"/>
      <c r="M2330" s="14"/>
    </row>
    <row r="2331" spans="2:13" s="7" customFormat="1" ht="13.5">
      <c r="B2331" s="30"/>
      <c r="C2331" s="30"/>
      <c r="D2331" s="31"/>
      <c r="E2331" s="35"/>
      <c r="F2331" s="130"/>
      <c r="G2331" s="14"/>
      <c r="H2331" s="14"/>
      <c r="I2331" s="14"/>
      <c r="J2331" s="14"/>
      <c r="K2331" s="14"/>
      <c r="L2331" s="14"/>
      <c r="M2331" s="14"/>
    </row>
    <row r="2332" spans="2:13" s="7" customFormat="1" ht="13.5">
      <c r="B2332" s="30"/>
      <c r="C2332" s="30"/>
      <c r="D2332" s="31"/>
      <c r="E2332" s="35"/>
      <c r="F2332" s="130"/>
      <c r="G2332" s="14"/>
      <c r="H2332" s="14"/>
      <c r="I2332" s="14"/>
      <c r="J2332" s="14"/>
      <c r="K2332" s="14"/>
      <c r="L2332" s="14"/>
      <c r="M2332" s="14"/>
    </row>
    <row r="2333" spans="2:13" s="7" customFormat="1" ht="13.5">
      <c r="B2333" s="30"/>
      <c r="C2333" s="30"/>
      <c r="D2333" s="31"/>
      <c r="E2333" s="35"/>
      <c r="F2333" s="130"/>
      <c r="G2333" s="14"/>
      <c r="H2333" s="14"/>
      <c r="I2333" s="14"/>
      <c r="J2333" s="14"/>
      <c r="K2333" s="14"/>
      <c r="L2333" s="14"/>
      <c r="M2333" s="14"/>
    </row>
    <row r="2334" spans="2:13" s="7" customFormat="1" ht="13.5">
      <c r="B2334" s="30"/>
      <c r="C2334" s="30"/>
      <c r="D2334" s="31"/>
      <c r="E2334" s="35"/>
      <c r="F2334" s="130"/>
      <c r="G2334" s="14"/>
      <c r="H2334" s="14"/>
      <c r="I2334" s="14"/>
      <c r="J2334" s="14"/>
      <c r="K2334" s="14"/>
      <c r="L2334" s="14"/>
      <c r="M2334" s="14"/>
    </row>
    <row r="2335" spans="2:13" s="7" customFormat="1" ht="13.5">
      <c r="B2335" s="30"/>
      <c r="C2335" s="30"/>
      <c r="D2335" s="31"/>
      <c r="E2335" s="35"/>
      <c r="F2335" s="130"/>
      <c r="G2335" s="14"/>
      <c r="H2335" s="14"/>
      <c r="I2335" s="14"/>
      <c r="J2335" s="14"/>
      <c r="K2335" s="14"/>
      <c r="L2335" s="14"/>
      <c r="M2335" s="14"/>
    </row>
    <row r="2336" spans="2:13" s="7" customFormat="1" ht="13.5">
      <c r="B2336" s="30"/>
      <c r="C2336" s="30"/>
      <c r="D2336" s="31"/>
      <c r="E2336" s="35"/>
      <c r="F2336" s="130"/>
      <c r="G2336" s="14"/>
      <c r="H2336" s="14"/>
      <c r="I2336" s="14"/>
      <c r="J2336" s="14"/>
      <c r="K2336" s="14"/>
      <c r="L2336" s="14"/>
      <c r="M2336" s="14"/>
    </row>
    <row r="2337" spans="2:13" s="7" customFormat="1" ht="13.5">
      <c r="B2337" s="30"/>
      <c r="C2337" s="30"/>
      <c r="D2337" s="31"/>
      <c r="E2337" s="35"/>
      <c r="F2337" s="130"/>
      <c r="G2337" s="14"/>
      <c r="H2337" s="14"/>
      <c r="I2337" s="14"/>
      <c r="J2337" s="14"/>
      <c r="K2337" s="14"/>
      <c r="L2337" s="14"/>
      <c r="M2337" s="14"/>
    </row>
    <row r="2338" spans="2:13" s="7" customFormat="1" ht="13.5">
      <c r="B2338" s="30"/>
      <c r="C2338" s="30"/>
      <c r="D2338" s="31"/>
      <c r="E2338" s="35"/>
      <c r="F2338" s="130"/>
      <c r="G2338" s="14"/>
      <c r="H2338" s="14"/>
      <c r="I2338" s="14"/>
      <c r="J2338" s="14"/>
      <c r="K2338" s="14"/>
      <c r="L2338" s="14"/>
      <c r="M2338" s="14"/>
    </row>
    <row r="2339" spans="2:13" s="7" customFormat="1" ht="13.5">
      <c r="B2339" s="30"/>
      <c r="C2339" s="30"/>
      <c r="D2339" s="31"/>
      <c r="E2339" s="35"/>
      <c r="F2339" s="130"/>
      <c r="G2339" s="14"/>
      <c r="H2339" s="14"/>
      <c r="I2339" s="14"/>
      <c r="J2339" s="14"/>
      <c r="K2339" s="14"/>
      <c r="L2339" s="14"/>
      <c r="M2339" s="14"/>
    </row>
    <row r="2340" spans="2:13" s="7" customFormat="1" ht="13.5">
      <c r="B2340" s="30"/>
      <c r="C2340" s="30"/>
      <c r="D2340" s="31"/>
      <c r="E2340" s="35"/>
      <c r="F2340" s="130"/>
      <c r="G2340" s="14"/>
      <c r="H2340" s="14"/>
      <c r="I2340" s="14"/>
      <c r="J2340" s="14"/>
      <c r="K2340" s="14"/>
      <c r="L2340" s="14"/>
      <c r="M2340" s="14"/>
    </row>
    <row r="2341" spans="2:13" s="7" customFormat="1" ht="13.5">
      <c r="B2341" s="30"/>
      <c r="C2341" s="30"/>
      <c r="D2341" s="31"/>
      <c r="E2341" s="35"/>
      <c r="F2341" s="130"/>
      <c r="G2341" s="14"/>
      <c r="H2341" s="14"/>
      <c r="I2341" s="14"/>
      <c r="J2341" s="14"/>
      <c r="K2341" s="14"/>
      <c r="L2341" s="14"/>
      <c r="M2341" s="14"/>
    </row>
    <row r="2342" spans="2:13" s="7" customFormat="1" ht="13.5">
      <c r="B2342" s="30"/>
      <c r="C2342" s="30"/>
      <c r="D2342" s="31"/>
      <c r="E2342" s="35"/>
      <c r="F2342" s="130"/>
      <c r="G2342" s="14"/>
      <c r="H2342" s="14"/>
      <c r="I2342" s="14"/>
      <c r="J2342" s="14"/>
      <c r="K2342" s="14"/>
      <c r="L2342" s="14"/>
      <c r="M2342" s="14"/>
    </row>
    <row r="2343" spans="2:13" s="7" customFormat="1" ht="13.5">
      <c r="B2343" s="30"/>
      <c r="C2343" s="30"/>
      <c r="D2343" s="31"/>
      <c r="E2343" s="35"/>
      <c r="F2343" s="130"/>
      <c r="G2343" s="14"/>
      <c r="H2343" s="14"/>
      <c r="I2343" s="14"/>
      <c r="J2343" s="14"/>
      <c r="K2343" s="14"/>
      <c r="L2343" s="14"/>
      <c r="M2343" s="14"/>
    </row>
    <row r="2344" spans="2:13" s="7" customFormat="1" ht="13.5">
      <c r="B2344" s="30"/>
      <c r="C2344" s="30"/>
      <c r="D2344" s="31"/>
      <c r="E2344" s="35"/>
      <c r="F2344" s="130"/>
      <c r="G2344" s="14"/>
      <c r="H2344" s="14"/>
      <c r="I2344" s="14"/>
      <c r="J2344" s="14"/>
      <c r="K2344" s="14"/>
      <c r="L2344" s="14"/>
      <c r="M2344" s="14"/>
    </row>
    <row r="2345" spans="2:13" s="7" customFormat="1" ht="13.5">
      <c r="B2345" s="30"/>
      <c r="C2345" s="30"/>
      <c r="D2345" s="31"/>
      <c r="E2345" s="35"/>
      <c r="F2345" s="130"/>
      <c r="G2345" s="14"/>
      <c r="H2345" s="14"/>
      <c r="I2345" s="14"/>
      <c r="J2345" s="14"/>
      <c r="K2345" s="14"/>
      <c r="L2345" s="14"/>
      <c r="M2345" s="14"/>
    </row>
    <row r="2346" spans="2:13" s="7" customFormat="1" ht="13.5">
      <c r="B2346" s="30"/>
      <c r="C2346" s="30"/>
      <c r="D2346" s="31"/>
      <c r="E2346" s="35"/>
      <c r="F2346" s="130"/>
      <c r="G2346" s="14"/>
      <c r="H2346" s="14"/>
      <c r="I2346" s="14"/>
      <c r="J2346" s="14"/>
      <c r="K2346" s="14"/>
      <c r="L2346" s="14"/>
      <c r="M2346" s="14"/>
    </row>
    <row r="2347" spans="2:13" s="7" customFormat="1" ht="13.5">
      <c r="B2347" s="30"/>
      <c r="C2347" s="30"/>
      <c r="D2347" s="31"/>
      <c r="E2347" s="35"/>
      <c r="F2347" s="130"/>
      <c r="G2347" s="14"/>
      <c r="H2347" s="14"/>
      <c r="I2347" s="14"/>
      <c r="J2347" s="14"/>
      <c r="K2347" s="14"/>
      <c r="L2347" s="14"/>
      <c r="M2347" s="14"/>
    </row>
    <row r="2348" spans="2:13" s="7" customFormat="1" ht="13.5">
      <c r="B2348" s="30"/>
      <c r="C2348" s="30"/>
      <c r="D2348" s="31"/>
      <c r="E2348" s="35"/>
      <c r="F2348" s="130"/>
      <c r="G2348" s="14"/>
      <c r="H2348" s="14"/>
      <c r="I2348" s="14"/>
      <c r="J2348" s="14"/>
      <c r="K2348" s="14"/>
      <c r="L2348" s="14"/>
      <c r="M2348" s="14"/>
    </row>
    <row r="2349" spans="2:13" s="7" customFormat="1" ht="13.5">
      <c r="B2349" s="30"/>
      <c r="C2349" s="30"/>
      <c r="D2349" s="31"/>
      <c r="E2349" s="35"/>
      <c r="F2349" s="130"/>
      <c r="G2349" s="14"/>
      <c r="H2349" s="14"/>
      <c r="I2349" s="14"/>
      <c r="J2349" s="14"/>
      <c r="K2349" s="14"/>
      <c r="L2349" s="14"/>
      <c r="M2349" s="14"/>
    </row>
    <row r="2350" spans="2:13" s="7" customFormat="1" ht="13.5">
      <c r="B2350" s="30"/>
      <c r="C2350" s="30"/>
      <c r="D2350" s="31"/>
      <c r="E2350" s="35"/>
      <c r="F2350" s="130"/>
      <c r="G2350" s="14"/>
      <c r="H2350" s="14"/>
      <c r="I2350" s="14"/>
      <c r="J2350" s="14"/>
      <c r="K2350" s="14"/>
      <c r="L2350" s="14"/>
      <c r="M2350" s="14"/>
    </row>
    <row r="2351" spans="2:13" s="7" customFormat="1" ht="13.5">
      <c r="B2351" s="30"/>
      <c r="C2351" s="30"/>
      <c r="D2351" s="31"/>
      <c r="E2351" s="35"/>
      <c r="F2351" s="130"/>
      <c r="G2351" s="14"/>
      <c r="H2351" s="14"/>
      <c r="I2351" s="14"/>
      <c r="J2351" s="14"/>
      <c r="K2351" s="14"/>
      <c r="L2351" s="14"/>
      <c r="M2351" s="14"/>
    </row>
    <row r="2352" spans="2:13" s="7" customFormat="1" ht="13.5">
      <c r="B2352" s="30"/>
      <c r="C2352" s="30"/>
      <c r="D2352" s="31"/>
      <c r="E2352" s="35"/>
      <c r="F2352" s="130"/>
      <c r="G2352" s="14"/>
      <c r="H2352" s="14"/>
      <c r="I2352" s="14"/>
      <c r="J2352" s="14"/>
      <c r="K2352" s="14"/>
      <c r="L2352" s="14"/>
      <c r="M2352" s="14"/>
    </row>
    <row r="2353" spans="2:13" s="7" customFormat="1" ht="13.5">
      <c r="B2353" s="30"/>
      <c r="C2353" s="30"/>
      <c r="D2353" s="31"/>
      <c r="E2353" s="35"/>
      <c r="F2353" s="130"/>
      <c r="G2353" s="14"/>
      <c r="H2353" s="14"/>
      <c r="I2353" s="14"/>
      <c r="J2353" s="14"/>
      <c r="K2353" s="14"/>
      <c r="L2353" s="14"/>
      <c r="M2353" s="14"/>
    </row>
    <row r="2354" spans="2:13" s="7" customFormat="1" ht="13.5">
      <c r="B2354" s="30"/>
      <c r="C2354" s="30"/>
      <c r="D2354" s="31"/>
      <c r="E2354" s="35"/>
      <c r="F2354" s="130"/>
      <c r="G2354" s="14"/>
      <c r="H2354" s="14"/>
      <c r="I2354" s="14"/>
      <c r="J2354" s="14"/>
      <c r="K2354" s="14"/>
      <c r="L2354" s="14"/>
      <c r="M2354" s="14"/>
    </row>
    <row r="2355" spans="2:13" s="7" customFormat="1" ht="13.5">
      <c r="B2355" s="30"/>
      <c r="C2355" s="30"/>
      <c r="D2355" s="31"/>
      <c r="E2355" s="35"/>
      <c r="F2355" s="130"/>
      <c r="G2355" s="14"/>
      <c r="H2355" s="14"/>
      <c r="I2355" s="14"/>
      <c r="J2355" s="14"/>
      <c r="K2355" s="14"/>
      <c r="L2355" s="14"/>
      <c r="M2355" s="14"/>
    </row>
    <row r="2356" spans="2:13" s="7" customFormat="1" ht="13.5">
      <c r="B2356" s="30"/>
      <c r="C2356" s="30"/>
      <c r="D2356" s="31"/>
      <c r="E2356" s="35"/>
      <c r="F2356" s="130"/>
      <c r="G2356" s="14"/>
      <c r="H2356" s="14"/>
      <c r="I2356" s="14"/>
      <c r="J2356" s="14"/>
      <c r="K2356" s="14"/>
      <c r="L2356" s="14"/>
      <c r="M2356" s="14"/>
    </row>
    <row r="2357" spans="2:13" s="7" customFormat="1" ht="13.5">
      <c r="B2357" s="30"/>
      <c r="C2357" s="30"/>
      <c r="D2357" s="31"/>
      <c r="E2357" s="35"/>
      <c r="F2357" s="130"/>
      <c r="G2357" s="14"/>
      <c r="H2357" s="14"/>
      <c r="I2357" s="14"/>
      <c r="J2357" s="14"/>
      <c r="K2357" s="14"/>
      <c r="L2357" s="14"/>
      <c r="M2357" s="14"/>
    </row>
    <row r="2358" spans="2:13" s="7" customFormat="1" ht="13.5">
      <c r="B2358" s="30"/>
      <c r="C2358" s="30"/>
      <c r="D2358" s="31"/>
      <c r="E2358" s="35"/>
      <c r="F2358" s="130"/>
      <c r="G2358" s="14"/>
      <c r="H2358" s="14"/>
      <c r="I2358" s="14"/>
      <c r="J2358" s="14"/>
      <c r="K2358" s="14"/>
      <c r="L2358" s="14"/>
      <c r="M2358" s="14"/>
    </row>
    <row r="2359" spans="2:13" s="7" customFormat="1" ht="13.5">
      <c r="B2359" s="30"/>
      <c r="C2359" s="30"/>
      <c r="D2359" s="31"/>
      <c r="E2359" s="35"/>
      <c r="F2359" s="130"/>
      <c r="G2359" s="14"/>
      <c r="H2359" s="14"/>
      <c r="I2359" s="14"/>
      <c r="J2359" s="14"/>
      <c r="K2359" s="14"/>
      <c r="L2359" s="14"/>
      <c r="M2359" s="14"/>
    </row>
    <row r="2360" spans="2:13" s="7" customFormat="1" ht="13.5">
      <c r="B2360" s="30"/>
      <c r="C2360" s="30"/>
      <c r="D2360" s="31"/>
      <c r="E2360" s="35"/>
      <c r="F2360" s="130"/>
      <c r="G2360" s="14"/>
      <c r="H2360" s="14"/>
      <c r="I2360" s="14"/>
      <c r="J2360" s="14"/>
      <c r="K2360" s="14"/>
      <c r="L2360" s="14"/>
      <c r="M2360" s="14"/>
    </row>
    <row r="2361" spans="2:13" s="7" customFormat="1" ht="13.5">
      <c r="B2361" s="30"/>
      <c r="C2361" s="30"/>
      <c r="D2361" s="31"/>
      <c r="E2361" s="35"/>
      <c r="F2361" s="130"/>
      <c r="G2361" s="14"/>
      <c r="H2361" s="14"/>
      <c r="I2361" s="14"/>
      <c r="J2361" s="14"/>
      <c r="K2361" s="14"/>
      <c r="L2361" s="14"/>
      <c r="M2361" s="14"/>
    </row>
    <row r="2362" spans="2:13" s="7" customFormat="1" ht="13.5">
      <c r="B2362" s="30"/>
      <c r="C2362" s="30"/>
      <c r="D2362" s="31"/>
      <c r="E2362" s="35"/>
      <c r="F2362" s="130"/>
      <c r="G2362" s="14"/>
      <c r="H2362" s="14"/>
      <c r="I2362" s="14"/>
      <c r="J2362" s="14"/>
      <c r="K2362" s="14"/>
      <c r="L2362" s="14"/>
      <c r="M2362" s="14"/>
    </row>
    <row r="2363" spans="2:13" s="7" customFormat="1" ht="13.5">
      <c r="B2363" s="30"/>
      <c r="C2363" s="30"/>
      <c r="D2363" s="31"/>
      <c r="E2363" s="35"/>
      <c r="F2363" s="130"/>
      <c r="G2363" s="14"/>
      <c r="H2363" s="14"/>
      <c r="I2363" s="14"/>
      <c r="J2363" s="14"/>
      <c r="K2363" s="14"/>
      <c r="L2363" s="14"/>
      <c r="M2363" s="14"/>
    </row>
    <row r="2364" spans="2:13" s="7" customFormat="1" ht="13.5">
      <c r="B2364" s="30"/>
      <c r="C2364" s="30"/>
      <c r="D2364" s="31"/>
      <c r="E2364" s="35"/>
      <c r="F2364" s="130"/>
      <c r="G2364" s="14"/>
      <c r="H2364" s="14"/>
      <c r="I2364" s="14"/>
      <c r="J2364" s="14"/>
      <c r="K2364" s="14"/>
      <c r="L2364" s="14"/>
      <c r="M2364" s="14"/>
    </row>
    <row r="2365" spans="2:13" s="7" customFormat="1" ht="13.5">
      <c r="B2365" s="30"/>
      <c r="C2365" s="30"/>
      <c r="D2365" s="31"/>
      <c r="E2365" s="35"/>
      <c r="F2365" s="130"/>
      <c r="G2365" s="14"/>
      <c r="H2365" s="14"/>
      <c r="I2365" s="14"/>
      <c r="J2365" s="14"/>
      <c r="K2365" s="14"/>
      <c r="L2365" s="14"/>
      <c r="M2365" s="14"/>
    </row>
    <row r="2366" spans="2:13" s="7" customFormat="1" ht="13.5">
      <c r="B2366" s="30"/>
      <c r="C2366" s="30"/>
      <c r="D2366" s="31"/>
      <c r="E2366" s="35"/>
      <c r="F2366" s="130"/>
      <c r="G2366" s="14"/>
      <c r="H2366" s="14"/>
      <c r="I2366" s="14"/>
      <c r="J2366" s="14"/>
      <c r="K2366" s="14"/>
      <c r="L2366" s="14"/>
      <c r="M2366" s="14"/>
    </row>
    <row r="2367" spans="2:13" s="7" customFormat="1" ht="13.5">
      <c r="B2367" s="30"/>
      <c r="C2367" s="30"/>
      <c r="D2367" s="31"/>
      <c r="E2367" s="35"/>
      <c r="F2367" s="130"/>
      <c r="G2367" s="14"/>
      <c r="H2367" s="14"/>
      <c r="I2367" s="14"/>
      <c r="J2367" s="14"/>
      <c r="K2367" s="14"/>
      <c r="L2367" s="14"/>
      <c r="M2367" s="14"/>
    </row>
    <row r="2368" spans="2:13" s="7" customFormat="1" ht="13.5">
      <c r="B2368" s="30"/>
      <c r="C2368" s="30"/>
      <c r="D2368" s="31"/>
      <c r="E2368" s="35"/>
      <c r="F2368" s="130"/>
      <c r="G2368" s="14"/>
      <c r="H2368" s="14"/>
      <c r="I2368" s="14"/>
      <c r="J2368" s="14"/>
      <c r="K2368" s="14"/>
      <c r="L2368" s="14"/>
      <c r="M2368" s="14"/>
    </row>
    <row r="2369" spans="2:13" s="7" customFormat="1" ht="13.5">
      <c r="B2369" s="30"/>
      <c r="C2369" s="30"/>
      <c r="D2369" s="31"/>
      <c r="E2369" s="35"/>
      <c r="F2369" s="130"/>
      <c r="G2369" s="14"/>
      <c r="H2369" s="14"/>
      <c r="I2369" s="14"/>
      <c r="J2369" s="14"/>
      <c r="K2369" s="14"/>
      <c r="L2369" s="14"/>
      <c r="M2369" s="14"/>
    </row>
    <row r="2370" spans="2:13" s="7" customFormat="1" ht="13.5">
      <c r="B2370" s="30"/>
      <c r="C2370" s="30"/>
      <c r="D2370" s="31"/>
      <c r="E2370" s="35"/>
      <c r="F2370" s="130"/>
      <c r="G2370" s="14"/>
      <c r="H2370" s="14"/>
      <c r="I2370" s="14"/>
      <c r="J2370" s="14"/>
      <c r="K2370" s="14"/>
      <c r="L2370" s="14"/>
      <c r="M2370" s="14"/>
    </row>
    <row r="2371" spans="2:13" s="7" customFormat="1" ht="13.5">
      <c r="B2371" s="30"/>
      <c r="C2371" s="30"/>
      <c r="D2371" s="31"/>
      <c r="E2371" s="35"/>
      <c r="F2371" s="130"/>
      <c r="G2371" s="14"/>
      <c r="H2371" s="14"/>
      <c r="I2371" s="14"/>
      <c r="J2371" s="14"/>
      <c r="K2371" s="14"/>
      <c r="L2371" s="14"/>
      <c r="M2371" s="14"/>
    </row>
    <row r="2372" spans="2:13" s="7" customFormat="1" ht="13.5">
      <c r="B2372" s="30"/>
      <c r="C2372" s="30"/>
      <c r="D2372" s="31"/>
      <c r="E2372" s="35"/>
      <c r="F2372" s="130"/>
      <c r="G2372" s="14"/>
      <c r="H2372" s="14"/>
      <c r="I2372" s="14"/>
      <c r="J2372" s="14"/>
      <c r="K2372" s="14"/>
      <c r="L2372" s="14"/>
      <c r="M2372" s="14"/>
    </row>
    <row r="2373" spans="2:13" s="7" customFormat="1" ht="13.5">
      <c r="B2373" s="30"/>
      <c r="C2373" s="30"/>
      <c r="D2373" s="31"/>
      <c r="E2373" s="35"/>
      <c r="F2373" s="130"/>
      <c r="G2373" s="14"/>
      <c r="H2373" s="14"/>
      <c r="I2373" s="14"/>
      <c r="J2373" s="14"/>
      <c r="K2373" s="14"/>
      <c r="L2373" s="14"/>
      <c r="M2373" s="14"/>
    </row>
    <row r="2374" spans="2:13" s="7" customFormat="1" ht="13.5">
      <c r="B2374" s="30"/>
      <c r="C2374" s="30"/>
      <c r="D2374" s="31"/>
      <c r="E2374" s="35"/>
      <c r="F2374" s="130"/>
      <c r="G2374" s="14"/>
      <c r="H2374" s="14"/>
      <c r="I2374" s="14"/>
      <c r="J2374" s="14"/>
      <c r="K2374" s="14"/>
      <c r="L2374" s="14"/>
      <c r="M2374" s="14"/>
    </row>
    <row r="2375" spans="2:13" s="7" customFormat="1" ht="13.5">
      <c r="B2375" s="30"/>
      <c r="C2375" s="30"/>
      <c r="D2375" s="31"/>
      <c r="E2375" s="35"/>
      <c r="F2375" s="130"/>
      <c r="G2375" s="14"/>
      <c r="H2375" s="14"/>
      <c r="I2375" s="14"/>
      <c r="J2375" s="14"/>
      <c r="K2375" s="14"/>
      <c r="L2375" s="14"/>
      <c r="M2375" s="14"/>
    </row>
    <row r="2376" spans="2:13" s="7" customFormat="1" ht="13.5">
      <c r="B2376" s="30"/>
      <c r="C2376" s="30"/>
      <c r="D2376" s="31"/>
      <c r="E2376" s="35"/>
      <c r="F2376" s="130"/>
      <c r="G2376" s="14"/>
      <c r="H2376" s="14"/>
      <c r="I2376" s="14"/>
      <c r="J2376" s="14"/>
      <c r="K2376" s="14"/>
      <c r="L2376" s="14"/>
      <c r="M2376" s="14"/>
    </row>
    <row r="2377" spans="2:13" s="7" customFormat="1" ht="13.5">
      <c r="B2377" s="30"/>
      <c r="C2377" s="30"/>
      <c r="D2377" s="31"/>
      <c r="E2377" s="35"/>
      <c r="F2377" s="130"/>
      <c r="G2377" s="14"/>
      <c r="H2377" s="14"/>
      <c r="I2377" s="14"/>
      <c r="J2377" s="14"/>
      <c r="K2377" s="14"/>
      <c r="L2377" s="14"/>
      <c r="M2377" s="14"/>
    </row>
    <row r="2378" spans="2:13" s="7" customFormat="1" ht="13.5">
      <c r="B2378" s="30"/>
      <c r="C2378" s="30"/>
      <c r="D2378" s="31"/>
      <c r="E2378" s="35"/>
      <c r="F2378" s="130"/>
      <c r="G2378" s="14"/>
      <c r="H2378" s="14"/>
      <c r="I2378" s="14"/>
      <c r="J2378" s="14"/>
      <c r="K2378" s="14"/>
      <c r="L2378" s="14"/>
      <c r="M2378" s="14"/>
    </row>
    <row r="2379" spans="2:13" s="7" customFormat="1" ht="13.5">
      <c r="B2379" s="30"/>
      <c r="C2379" s="30"/>
      <c r="D2379" s="31"/>
      <c r="E2379" s="35"/>
      <c r="F2379" s="130"/>
      <c r="G2379" s="14"/>
      <c r="H2379" s="14"/>
      <c r="I2379" s="14"/>
      <c r="J2379" s="14"/>
      <c r="K2379" s="14"/>
      <c r="L2379" s="14"/>
      <c r="M2379" s="14"/>
    </row>
    <row r="2380" spans="2:13" s="7" customFormat="1" ht="13.5">
      <c r="B2380" s="30"/>
      <c r="C2380" s="30"/>
      <c r="D2380" s="31"/>
      <c r="E2380" s="35"/>
      <c r="F2380" s="130"/>
      <c r="G2380" s="14"/>
      <c r="H2380" s="14"/>
      <c r="I2380" s="14"/>
      <c r="J2380" s="14"/>
      <c r="K2380" s="14"/>
      <c r="L2380" s="14"/>
      <c r="M2380" s="14"/>
    </row>
    <row r="2381" spans="2:13" s="7" customFormat="1" ht="13.5">
      <c r="B2381" s="30"/>
      <c r="C2381" s="30"/>
      <c r="D2381" s="31"/>
      <c r="E2381" s="35"/>
      <c r="F2381" s="130"/>
      <c r="G2381" s="14"/>
      <c r="H2381" s="14"/>
      <c r="I2381" s="14"/>
      <c r="J2381" s="14"/>
      <c r="K2381" s="14"/>
      <c r="L2381" s="14"/>
      <c r="M2381" s="14"/>
    </row>
    <row r="2382" spans="2:13" s="7" customFormat="1" ht="13.5">
      <c r="B2382" s="30"/>
      <c r="C2382" s="30"/>
      <c r="D2382" s="31"/>
      <c r="E2382" s="35"/>
      <c r="F2382" s="130"/>
      <c r="G2382" s="14"/>
      <c r="H2382" s="14"/>
      <c r="I2382" s="14"/>
      <c r="J2382" s="14"/>
      <c r="K2382" s="14"/>
      <c r="L2382" s="14"/>
      <c r="M2382" s="14"/>
    </row>
    <row r="2383" spans="2:13" s="7" customFormat="1" ht="13.5">
      <c r="B2383" s="30"/>
      <c r="C2383" s="30"/>
      <c r="D2383" s="31"/>
      <c r="E2383" s="35"/>
      <c r="F2383" s="130"/>
      <c r="G2383" s="14"/>
      <c r="H2383" s="14"/>
      <c r="I2383" s="14"/>
      <c r="J2383" s="14"/>
      <c r="K2383" s="14"/>
      <c r="L2383" s="14"/>
      <c r="M2383" s="14"/>
    </row>
    <row r="2384" spans="2:13" s="7" customFormat="1" ht="13.5">
      <c r="B2384" s="30"/>
      <c r="C2384" s="30"/>
      <c r="D2384" s="31"/>
      <c r="E2384" s="35"/>
      <c r="F2384" s="130"/>
      <c r="G2384" s="14"/>
      <c r="H2384" s="14"/>
      <c r="I2384" s="14"/>
      <c r="J2384" s="14"/>
      <c r="K2384" s="14"/>
      <c r="L2384" s="14"/>
      <c r="M2384" s="14"/>
    </row>
    <row r="2385" spans="2:13" s="7" customFormat="1" ht="13.5">
      <c r="B2385" s="30"/>
      <c r="C2385" s="30"/>
      <c r="D2385" s="31"/>
      <c r="E2385" s="35"/>
      <c r="F2385" s="130"/>
      <c r="G2385" s="14"/>
      <c r="H2385" s="14"/>
      <c r="I2385" s="14"/>
      <c r="J2385" s="14"/>
      <c r="K2385" s="14"/>
      <c r="L2385" s="14"/>
      <c r="M2385" s="14"/>
    </row>
    <row r="2386" spans="2:13" s="7" customFormat="1" ht="13.5">
      <c r="B2386" s="30"/>
      <c r="C2386" s="30"/>
      <c r="D2386" s="31"/>
      <c r="E2386" s="35"/>
      <c r="F2386" s="130"/>
      <c r="G2386" s="14"/>
      <c r="H2386" s="14"/>
      <c r="I2386" s="14"/>
      <c r="J2386" s="14"/>
      <c r="K2386" s="14"/>
      <c r="L2386" s="14"/>
      <c r="M2386" s="14"/>
    </row>
    <row r="2387" spans="2:13" s="7" customFormat="1" ht="13.5">
      <c r="B2387" s="30"/>
      <c r="C2387" s="30"/>
      <c r="D2387" s="31"/>
      <c r="E2387" s="35"/>
      <c r="F2387" s="130"/>
      <c r="G2387" s="14"/>
      <c r="H2387" s="14"/>
      <c r="I2387" s="14"/>
      <c r="J2387" s="14"/>
      <c r="K2387" s="14"/>
      <c r="L2387" s="14"/>
      <c r="M2387" s="14"/>
    </row>
    <row r="2388" spans="2:13" s="7" customFormat="1" ht="13.5">
      <c r="B2388" s="30"/>
      <c r="C2388" s="30"/>
      <c r="D2388" s="31"/>
      <c r="E2388" s="35"/>
      <c r="F2388" s="130"/>
      <c r="G2388" s="14"/>
      <c r="H2388" s="14"/>
      <c r="I2388" s="14"/>
      <c r="J2388" s="14"/>
      <c r="K2388" s="14"/>
      <c r="L2388" s="14"/>
      <c r="M2388" s="14"/>
    </row>
    <row r="2389" spans="2:13" s="7" customFormat="1" ht="13.5">
      <c r="B2389" s="30"/>
      <c r="C2389" s="30"/>
      <c r="D2389" s="31"/>
      <c r="E2389" s="35"/>
      <c r="F2389" s="130"/>
      <c r="G2389" s="14"/>
      <c r="H2389" s="14"/>
      <c r="I2389" s="14"/>
      <c r="J2389" s="14"/>
      <c r="K2389" s="14"/>
      <c r="L2389" s="14"/>
      <c r="M2389" s="14"/>
    </row>
    <row r="2390" spans="2:13" s="7" customFormat="1" ht="13.5">
      <c r="B2390" s="30"/>
      <c r="C2390" s="30"/>
      <c r="D2390" s="31"/>
      <c r="E2390" s="35"/>
      <c r="F2390" s="130"/>
      <c r="G2390" s="14"/>
      <c r="H2390" s="14"/>
      <c r="I2390" s="14"/>
      <c r="J2390" s="14"/>
      <c r="K2390" s="14"/>
      <c r="L2390" s="14"/>
      <c r="M2390" s="14"/>
    </row>
    <row r="2391" spans="2:13" s="7" customFormat="1" ht="13.5">
      <c r="B2391" s="30"/>
      <c r="C2391" s="30"/>
      <c r="D2391" s="31"/>
      <c r="E2391" s="35"/>
      <c r="F2391" s="130"/>
      <c r="G2391" s="14"/>
      <c r="H2391" s="14"/>
      <c r="I2391" s="14"/>
      <c r="J2391" s="14"/>
      <c r="K2391" s="14"/>
      <c r="L2391" s="14"/>
      <c r="M2391" s="14"/>
    </row>
    <row r="2392" spans="2:13" s="7" customFormat="1" ht="13.5">
      <c r="B2392" s="30"/>
      <c r="C2392" s="30"/>
      <c r="D2392" s="31"/>
      <c r="E2392" s="35"/>
      <c r="F2392" s="130"/>
      <c r="G2392" s="14"/>
      <c r="H2392" s="14"/>
      <c r="I2392" s="14"/>
      <c r="J2392" s="14"/>
      <c r="K2392" s="14"/>
      <c r="L2392" s="14"/>
      <c r="M2392" s="14"/>
    </row>
    <row r="2393" spans="2:13" s="7" customFormat="1" ht="13.5">
      <c r="B2393" s="30"/>
      <c r="C2393" s="30"/>
      <c r="D2393" s="31"/>
      <c r="E2393" s="35"/>
      <c r="F2393" s="130"/>
      <c r="G2393" s="14"/>
      <c r="H2393" s="14"/>
      <c r="I2393" s="14"/>
      <c r="J2393" s="14"/>
      <c r="K2393" s="14"/>
      <c r="L2393" s="14"/>
      <c r="M2393" s="14"/>
    </row>
    <row r="2394" spans="2:13" s="7" customFormat="1" ht="13.5">
      <c r="B2394" s="30"/>
      <c r="C2394" s="30"/>
      <c r="D2394" s="31"/>
      <c r="E2394" s="35"/>
      <c r="F2394" s="130"/>
      <c r="G2394" s="14"/>
      <c r="H2394" s="14"/>
      <c r="I2394" s="14"/>
      <c r="J2394" s="14"/>
      <c r="K2394" s="14"/>
      <c r="L2394" s="14"/>
      <c r="M2394" s="14"/>
    </row>
    <row r="2395" spans="2:13" s="7" customFormat="1" ht="13.5">
      <c r="B2395" s="30"/>
      <c r="C2395" s="30"/>
      <c r="D2395" s="31"/>
      <c r="E2395" s="35"/>
      <c r="F2395" s="130"/>
      <c r="G2395" s="14"/>
      <c r="H2395" s="14"/>
      <c r="I2395" s="14"/>
      <c r="J2395" s="14"/>
      <c r="K2395" s="14"/>
      <c r="L2395" s="14"/>
      <c r="M2395" s="14"/>
    </row>
    <row r="2396" spans="2:13" s="7" customFormat="1" ht="13.5">
      <c r="B2396" s="30"/>
      <c r="C2396" s="30"/>
      <c r="D2396" s="31"/>
      <c r="E2396" s="35"/>
      <c r="F2396" s="130"/>
      <c r="G2396" s="14"/>
      <c r="H2396" s="14"/>
      <c r="I2396" s="14"/>
      <c r="J2396" s="14"/>
      <c r="K2396" s="14"/>
      <c r="L2396" s="14"/>
      <c r="M2396" s="14"/>
    </row>
    <row r="2397" spans="2:13" s="7" customFormat="1" ht="13.5">
      <c r="B2397" s="30"/>
      <c r="C2397" s="30"/>
      <c r="D2397" s="31"/>
      <c r="E2397" s="35"/>
      <c r="F2397" s="130"/>
      <c r="G2397" s="14"/>
      <c r="H2397" s="14"/>
      <c r="I2397" s="14"/>
      <c r="J2397" s="14"/>
      <c r="K2397" s="14"/>
      <c r="L2397" s="14"/>
      <c r="M2397" s="14"/>
    </row>
    <row r="2398" spans="2:13" s="7" customFormat="1" ht="13.5">
      <c r="B2398" s="30"/>
      <c r="C2398" s="30"/>
      <c r="D2398" s="31"/>
      <c r="E2398" s="35"/>
      <c r="F2398" s="130"/>
      <c r="G2398" s="14"/>
      <c r="H2398" s="14"/>
      <c r="I2398" s="14"/>
      <c r="J2398" s="14"/>
      <c r="K2398" s="14"/>
      <c r="L2398" s="14"/>
      <c r="M2398" s="14"/>
    </row>
    <row r="2399" spans="2:13" s="7" customFormat="1" ht="13.5">
      <c r="B2399" s="30"/>
      <c r="C2399" s="30"/>
      <c r="D2399" s="31"/>
      <c r="E2399" s="35"/>
      <c r="F2399" s="130"/>
      <c r="G2399" s="14"/>
      <c r="H2399" s="14"/>
      <c r="I2399" s="14"/>
      <c r="J2399" s="14"/>
      <c r="K2399" s="14"/>
      <c r="L2399" s="14"/>
      <c r="M2399" s="14"/>
    </row>
    <row r="2400" spans="2:13" s="7" customFormat="1" ht="13.5">
      <c r="B2400" s="30"/>
      <c r="C2400" s="30"/>
      <c r="D2400" s="31"/>
      <c r="E2400" s="35"/>
      <c r="F2400" s="130"/>
      <c r="G2400" s="14"/>
      <c r="H2400" s="14"/>
      <c r="I2400" s="14"/>
      <c r="J2400" s="14"/>
      <c r="K2400" s="14"/>
      <c r="L2400" s="14"/>
      <c r="M2400" s="14"/>
    </row>
    <row r="2401" spans="2:13" s="7" customFormat="1" ht="13.5">
      <c r="B2401" s="30"/>
      <c r="C2401" s="30"/>
      <c r="D2401" s="31"/>
      <c r="E2401" s="35"/>
      <c r="F2401" s="130"/>
      <c r="G2401" s="14"/>
      <c r="H2401" s="14"/>
      <c r="I2401" s="14"/>
      <c r="J2401" s="14"/>
      <c r="K2401" s="14"/>
      <c r="L2401" s="14"/>
      <c r="M2401" s="14"/>
    </row>
    <row r="2402" spans="2:13" s="7" customFormat="1" ht="13.5">
      <c r="B2402" s="30"/>
      <c r="C2402" s="30"/>
      <c r="D2402" s="31"/>
      <c r="E2402" s="35"/>
      <c r="F2402" s="130"/>
      <c r="G2402" s="14"/>
      <c r="H2402" s="14"/>
      <c r="I2402" s="14"/>
      <c r="J2402" s="14"/>
      <c r="K2402" s="14"/>
      <c r="L2402" s="14"/>
      <c r="M2402" s="14"/>
    </row>
    <row r="2403" spans="2:13" s="7" customFormat="1" ht="13.5">
      <c r="B2403" s="30"/>
      <c r="C2403" s="30"/>
      <c r="D2403" s="31"/>
      <c r="E2403" s="35"/>
      <c r="F2403" s="130"/>
      <c r="G2403" s="14"/>
      <c r="H2403" s="14"/>
      <c r="I2403" s="14"/>
      <c r="J2403" s="14"/>
      <c r="K2403" s="14"/>
      <c r="L2403" s="14"/>
      <c r="M2403" s="14"/>
    </row>
    <row r="2404" spans="2:13" s="7" customFormat="1" ht="13.5">
      <c r="B2404" s="30"/>
      <c r="C2404" s="30"/>
      <c r="D2404" s="31"/>
      <c r="E2404" s="35"/>
      <c r="F2404" s="130"/>
      <c r="G2404" s="14"/>
      <c r="H2404" s="14"/>
      <c r="I2404" s="14"/>
      <c r="J2404" s="14"/>
      <c r="K2404" s="14"/>
      <c r="L2404" s="14"/>
      <c r="M2404" s="14"/>
    </row>
    <row r="2405" spans="2:13" s="7" customFormat="1" ht="13.5">
      <c r="B2405" s="30"/>
      <c r="C2405" s="30"/>
      <c r="D2405" s="31"/>
      <c r="E2405" s="35"/>
      <c r="F2405" s="130"/>
      <c r="G2405" s="14"/>
      <c r="H2405" s="14"/>
      <c r="I2405" s="14"/>
      <c r="J2405" s="14"/>
      <c r="K2405" s="14"/>
      <c r="L2405" s="14"/>
      <c r="M2405" s="14"/>
    </row>
    <row r="2406" spans="2:13" s="7" customFormat="1" ht="13.5">
      <c r="B2406" s="30"/>
      <c r="C2406" s="30"/>
      <c r="D2406" s="31"/>
      <c r="E2406" s="35"/>
      <c r="F2406" s="130"/>
      <c r="G2406" s="14"/>
      <c r="H2406" s="14"/>
      <c r="I2406" s="14"/>
      <c r="J2406" s="14"/>
      <c r="K2406" s="14"/>
      <c r="L2406" s="14"/>
      <c r="M2406" s="14"/>
    </row>
    <row r="2407" spans="2:13" s="7" customFormat="1" ht="13.5">
      <c r="B2407" s="30"/>
      <c r="C2407" s="30"/>
      <c r="D2407" s="31"/>
      <c r="E2407" s="35"/>
      <c r="F2407" s="130"/>
      <c r="G2407" s="14"/>
      <c r="H2407" s="14"/>
      <c r="I2407" s="14"/>
      <c r="J2407" s="14"/>
      <c r="K2407" s="14"/>
      <c r="L2407" s="14"/>
      <c r="M2407" s="14"/>
    </row>
    <row r="2408" spans="2:13" s="7" customFormat="1" ht="13.5">
      <c r="B2408" s="30"/>
      <c r="C2408" s="30"/>
      <c r="D2408" s="31"/>
      <c r="E2408" s="35"/>
      <c r="F2408" s="130"/>
      <c r="G2408" s="14"/>
      <c r="H2408" s="14"/>
      <c r="I2408" s="14"/>
      <c r="J2408" s="14"/>
      <c r="K2408" s="14"/>
      <c r="L2408" s="14"/>
      <c r="M2408" s="14"/>
    </row>
    <row r="2409" spans="2:13" s="7" customFormat="1" ht="13.5">
      <c r="B2409" s="30"/>
      <c r="C2409" s="30"/>
      <c r="D2409" s="31"/>
      <c r="E2409" s="35"/>
      <c r="F2409" s="130"/>
      <c r="G2409" s="14"/>
      <c r="H2409" s="14"/>
      <c r="I2409" s="14"/>
      <c r="J2409" s="14"/>
      <c r="K2409" s="14"/>
      <c r="L2409" s="14"/>
      <c r="M2409" s="14"/>
    </row>
    <row r="2410" spans="2:13" s="7" customFormat="1" ht="13.5">
      <c r="B2410" s="30"/>
      <c r="C2410" s="30"/>
      <c r="D2410" s="31"/>
      <c r="E2410" s="35"/>
      <c r="F2410" s="130"/>
      <c r="G2410" s="14"/>
      <c r="H2410" s="14"/>
      <c r="I2410" s="14"/>
      <c r="J2410" s="14"/>
      <c r="K2410" s="14"/>
      <c r="L2410" s="14"/>
      <c r="M2410" s="14"/>
    </row>
    <row r="2411" spans="2:13" s="7" customFormat="1" ht="13.5">
      <c r="B2411" s="30"/>
      <c r="C2411" s="30"/>
      <c r="D2411" s="31"/>
      <c r="E2411" s="35"/>
      <c r="F2411" s="130"/>
      <c r="G2411" s="14"/>
      <c r="H2411" s="14"/>
      <c r="I2411" s="14"/>
      <c r="J2411" s="14"/>
      <c r="K2411" s="14"/>
      <c r="L2411" s="14"/>
      <c r="M2411" s="14"/>
    </row>
    <row r="2412" spans="2:13" s="7" customFormat="1" ht="13.5">
      <c r="B2412" s="30"/>
      <c r="C2412" s="30"/>
      <c r="D2412" s="31"/>
      <c r="E2412" s="35"/>
      <c r="F2412" s="130"/>
      <c r="G2412" s="14"/>
      <c r="H2412" s="14"/>
      <c r="I2412" s="14"/>
      <c r="J2412" s="14"/>
      <c r="K2412" s="14"/>
      <c r="L2412" s="14"/>
      <c r="M2412" s="14"/>
    </row>
    <row r="2413" spans="2:13" s="7" customFormat="1" ht="13.5">
      <c r="B2413" s="30"/>
      <c r="C2413" s="30"/>
      <c r="D2413" s="31"/>
      <c r="E2413" s="35"/>
      <c r="F2413" s="130"/>
      <c r="G2413" s="14"/>
      <c r="H2413" s="14"/>
      <c r="I2413" s="14"/>
      <c r="J2413" s="14"/>
      <c r="K2413" s="14"/>
      <c r="L2413" s="14"/>
      <c r="M2413" s="14"/>
    </row>
    <row r="2414" spans="2:13" s="7" customFormat="1" ht="13.5">
      <c r="B2414" s="30"/>
      <c r="C2414" s="30"/>
      <c r="D2414" s="31"/>
      <c r="E2414" s="35"/>
      <c r="F2414" s="130"/>
      <c r="G2414" s="14"/>
      <c r="H2414" s="14"/>
      <c r="I2414" s="14"/>
      <c r="J2414" s="14"/>
      <c r="K2414" s="14"/>
      <c r="L2414" s="14"/>
      <c r="M2414" s="14"/>
    </row>
    <row r="2415" spans="2:13" s="7" customFormat="1" ht="13.5">
      <c r="B2415" s="30"/>
      <c r="C2415" s="30"/>
      <c r="D2415" s="31"/>
      <c r="E2415" s="35"/>
      <c r="F2415" s="130"/>
      <c r="G2415" s="14"/>
      <c r="H2415" s="14"/>
      <c r="I2415" s="14"/>
      <c r="J2415" s="14"/>
      <c r="K2415" s="14"/>
      <c r="L2415" s="14"/>
      <c r="M2415" s="14"/>
    </row>
    <row r="2416" spans="2:13" s="7" customFormat="1" ht="13.5">
      <c r="B2416" s="30"/>
      <c r="C2416" s="30"/>
      <c r="D2416" s="31"/>
      <c r="E2416" s="35"/>
      <c r="F2416" s="130"/>
      <c r="G2416" s="14"/>
      <c r="H2416" s="14"/>
      <c r="I2416" s="14"/>
      <c r="J2416" s="14"/>
      <c r="K2416" s="14"/>
      <c r="L2416" s="14"/>
      <c r="M2416" s="14"/>
    </row>
    <row r="2417" spans="2:13" s="7" customFormat="1" ht="13.5">
      <c r="B2417" s="30"/>
      <c r="C2417" s="30"/>
      <c r="D2417" s="31"/>
      <c r="E2417" s="35"/>
      <c r="F2417" s="130"/>
      <c r="G2417" s="14"/>
      <c r="H2417" s="14"/>
      <c r="I2417" s="14"/>
      <c r="J2417" s="14"/>
      <c r="K2417" s="14"/>
      <c r="L2417" s="14"/>
      <c r="M2417" s="14"/>
    </row>
    <row r="2418" spans="2:13" s="7" customFormat="1" ht="13.5">
      <c r="B2418" s="30"/>
      <c r="C2418" s="30"/>
      <c r="D2418" s="31"/>
      <c r="E2418" s="35"/>
      <c r="F2418" s="130"/>
      <c r="G2418" s="14"/>
      <c r="H2418" s="14"/>
      <c r="I2418" s="14"/>
      <c r="J2418" s="14"/>
      <c r="K2418" s="14"/>
      <c r="L2418" s="14"/>
      <c r="M2418" s="14"/>
    </row>
    <row r="2419" spans="2:13" s="7" customFormat="1" ht="13.5">
      <c r="B2419" s="30"/>
      <c r="C2419" s="30"/>
      <c r="D2419" s="31"/>
      <c r="E2419" s="35"/>
      <c r="F2419" s="130"/>
      <c r="G2419" s="14"/>
      <c r="H2419" s="14"/>
      <c r="I2419" s="14"/>
      <c r="J2419" s="14"/>
      <c r="K2419" s="14"/>
      <c r="L2419" s="14"/>
      <c r="M2419" s="14"/>
    </row>
    <row r="2420" spans="2:13" s="7" customFormat="1" ht="13.5">
      <c r="B2420" s="30"/>
      <c r="C2420" s="30"/>
      <c r="D2420" s="31"/>
      <c r="E2420" s="35"/>
      <c r="F2420" s="130"/>
      <c r="G2420" s="14"/>
      <c r="H2420" s="14"/>
      <c r="I2420" s="14"/>
      <c r="J2420" s="14"/>
      <c r="K2420" s="14"/>
      <c r="L2420" s="14"/>
      <c r="M2420" s="14"/>
    </row>
    <row r="2421" spans="2:13" s="7" customFormat="1" ht="13.5">
      <c r="B2421" s="30"/>
      <c r="C2421" s="30"/>
      <c r="D2421" s="31"/>
      <c r="E2421" s="35"/>
      <c r="F2421" s="130"/>
      <c r="G2421" s="14"/>
      <c r="H2421" s="14"/>
      <c r="I2421" s="14"/>
      <c r="J2421" s="14"/>
      <c r="K2421" s="14"/>
      <c r="L2421" s="14"/>
      <c r="M2421" s="14"/>
    </row>
    <row r="2422" spans="2:13" s="7" customFormat="1" ht="13.5">
      <c r="B2422" s="30"/>
      <c r="C2422" s="30"/>
      <c r="D2422" s="31"/>
      <c r="E2422" s="35"/>
      <c r="F2422" s="130"/>
      <c r="G2422" s="14"/>
      <c r="H2422" s="14"/>
      <c r="I2422" s="14"/>
      <c r="J2422" s="14"/>
      <c r="K2422" s="14"/>
      <c r="L2422" s="14"/>
      <c r="M2422" s="14"/>
    </row>
    <row r="2423" spans="2:13" s="7" customFormat="1" ht="13.5">
      <c r="B2423" s="30"/>
      <c r="C2423" s="30"/>
      <c r="D2423" s="31"/>
      <c r="E2423" s="35"/>
      <c r="F2423" s="130"/>
      <c r="G2423" s="14"/>
      <c r="H2423" s="14"/>
      <c r="I2423" s="14"/>
      <c r="J2423" s="14"/>
      <c r="K2423" s="14"/>
      <c r="L2423" s="14"/>
      <c r="M2423" s="14"/>
    </row>
    <row r="2424" spans="2:13" s="7" customFormat="1" ht="13.5">
      <c r="B2424" s="30"/>
      <c r="C2424" s="30"/>
      <c r="D2424" s="31"/>
      <c r="E2424" s="35"/>
      <c r="F2424" s="130"/>
      <c r="G2424" s="14"/>
      <c r="H2424" s="14"/>
      <c r="I2424" s="14"/>
      <c r="J2424" s="14"/>
      <c r="K2424" s="14"/>
      <c r="L2424" s="14"/>
      <c r="M2424" s="14"/>
    </row>
    <row r="2425" spans="2:13" s="7" customFormat="1" ht="13.5">
      <c r="B2425" s="30"/>
      <c r="C2425" s="30"/>
      <c r="D2425" s="31"/>
      <c r="E2425" s="35"/>
      <c r="F2425" s="130"/>
      <c r="G2425" s="14"/>
      <c r="H2425" s="14"/>
      <c r="I2425" s="14"/>
      <c r="J2425" s="14"/>
      <c r="K2425" s="14"/>
      <c r="L2425" s="14"/>
      <c r="M2425" s="14"/>
    </row>
    <row r="2426" spans="2:13" s="7" customFormat="1" ht="13.5">
      <c r="B2426" s="30"/>
      <c r="C2426" s="30"/>
      <c r="D2426" s="31"/>
      <c r="E2426" s="35"/>
      <c r="F2426" s="130"/>
      <c r="G2426" s="14"/>
      <c r="H2426" s="14"/>
      <c r="I2426" s="14"/>
      <c r="J2426" s="14"/>
      <c r="K2426" s="14"/>
      <c r="L2426" s="14"/>
      <c r="M2426" s="14"/>
    </row>
    <row r="2427" spans="2:13" s="7" customFormat="1" ht="13.5">
      <c r="B2427" s="30"/>
      <c r="C2427" s="30"/>
      <c r="D2427" s="31"/>
      <c r="E2427" s="35"/>
      <c r="F2427" s="130"/>
      <c r="G2427" s="14"/>
      <c r="H2427" s="14"/>
      <c r="I2427" s="14"/>
      <c r="J2427" s="14"/>
      <c r="K2427" s="14"/>
      <c r="L2427" s="14"/>
      <c r="M2427" s="14"/>
    </row>
    <row r="2428" spans="2:13" s="7" customFormat="1" ht="13.5">
      <c r="B2428" s="30"/>
      <c r="C2428" s="30"/>
      <c r="D2428" s="31"/>
      <c r="E2428" s="35"/>
      <c r="F2428" s="130"/>
      <c r="G2428" s="14"/>
      <c r="H2428" s="14"/>
      <c r="I2428" s="14"/>
      <c r="J2428" s="14"/>
      <c r="K2428" s="14"/>
      <c r="L2428" s="14"/>
      <c r="M2428" s="14"/>
    </row>
    <row r="2429" spans="2:13" s="7" customFormat="1" ht="13.5">
      <c r="B2429" s="30"/>
      <c r="C2429" s="30"/>
      <c r="D2429" s="31"/>
      <c r="E2429" s="35"/>
      <c r="F2429" s="130"/>
      <c r="G2429" s="14"/>
      <c r="H2429" s="14"/>
      <c r="I2429" s="14"/>
      <c r="J2429" s="14"/>
      <c r="K2429" s="14"/>
      <c r="L2429" s="14"/>
      <c r="M2429" s="14"/>
    </row>
    <row r="2430" spans="2:13" s="7" customFormat="1" ht="13.5">
      <c r="B2430" s="30"/>
      <c r="C2430" s="30"/>
      <c r="D2430" s="31"/>
      <c r="E2430" s="35"/>
      <c r="F2430" s="130"/>
      <c r="G2430" s="14"/>
      <c r="H2430" s="14"/>
      <c r="I2430" s="14"/>
      <c r="J2430" s="14"/>
      <c r="K2430" s="14"/>
      <c r="L2430" s="14"/>
      <c r="M2430" s="14"/>
    </row>
    <row r="2431" spans="2:13" s="7" customFormat="1" ht="13.5">
      <c r="B2431" s="30"/>
      <c r="C2431" s="30"/>
      <c r="D2431" s="31"/>
      <c r="E2431" s="35"/>
      <c r="F2431" s="130"/>
      <c r="G2431" s="14"/>
      <c r="H2431" s="14"/>
      <c r="I2431" s="14"/>
      <c r="J2431" s="14"/>
      <c r="K2431" s="14"/>
      <c r="L2431" s="14"/>
      <c r="M2431" s="14"/>
    </row>
    <row r="2432" spans="2:13" s="7" customFormat="1" ht="13.5">
      <c r="B2432" s="30"/>
      <c r="C2432" s="30"/>
      <c r="D2432" s="31"/>
      <c r="E2432" s="35"/>
      <c r="F2432" s="130"/>
      <c r="G2432" s="14"/>
      <c r="H2432" s="14"/>
      <c r="I2432" s="14"/>
      <c r="J2432" s="14"/>
      <c r="K2432" s="14"/>
      <c r="L2432" s="14"/>
      <c r="M2432" s="14"/>
    </row>
    <row r="2433" spans="2:13" s="7" customFormat="1" ht="13.5">
      <c r="B2433" s="30"/>
      <c r="C2433" s="30"/>
      <c r="D2433" s="31"/>
      <c r="E2433" s="35"/>
      <c r="F2433" s="130"/>
      <c r="G2433" s="14"/>
      <c r="H2433" s="14"/>
      <c r="I2433" s="14"/>
      <c r="J2433" s="14"/>
      <c r="K2433" s="14"/>
      <c r="L2433" s="14"/>
      <c r="M2433" s="14"/>
    </row>
    <row r="2434" spans="2:13" s="7" customFormat="1" ht="13.5">
      <c r="B2434" s="30"/>
      <c r="C2434" s="30"/>
      <c r="D2434" s="31"/>
      <c r="E2434" s="35"/>
      <c r="F2434" s="130"/>
      <c r="G2434" s="14"/>
      <c r="H2434" s="14"/>
      <c r="I2434" s="14"/>
      <c r="J2434" s="14"/>
      <c r="K2434" s="14"/>
      <c r="L2434" s="14"/>
      <c r="M2434" s="14"/>
    </row>
    <row r="2435" spans="2:13" s="7" customFormat="1" ht="13.5">
      <c r="B2435" s="30"/>
      <c r="C2435" s="30"/>
      <c r="D2435" s="31"/>
      <c r="E2435" s="35"/>
      <c r="F2435" s="130"/>
      <c r="G2435" s="14"/>
      <c r="H2435" s="14"/>
      <c r="I2435" s="14"/>
      <c r="J2435" s="14"/>
      <c r="K2435" s="14"/>
      <c r="L2435" s="14"/>
      <c r="M2435" s="14"/>
    </row>
    <row r="2436" spans="2:13" s="7" customFormat="1" ht="13.5">
      <c r="B2436" s="30"/>
      <c r="C2436" s="30"/>
      <c r="D2436" s="31"/>
      <c r="E2436" s="35"/>
      <c r="F2436" s="130"/>
      <c r="G2436" s="14"/>
      <c r="H2436" s="14"/>
      <c r="I2436" s="14"/>
      <c r="J2436" s="14"/>
      <c r="K2436" s="14"/>
      <c r="L2436" s="14"/>
      <c r="M2436" s="14"/>
    </row>
    <row r="2437" spans="2:13" s="7" customFormat="1" ht="13.5">
      <c r="B2437" s="30"/>
      <c r="C2437" s="30"/>
      <c r="D2437" s="31"/>
      <c r="E2437" s="35"/>
      <c r="F2437" s="130"/>
      <c r="G2437" s="14"/>
      <c r="H2437" s="14"/>
      <c r="I2437" s="14"/>
      <c r="J2437" s="14"/>
      <c r="K2437" s="14"/>
      <c r="L2437" s="14"/>
      <c r="M2437" s="14"/>
    </row>
    <row r="2438" spans="2:13" s="7" customFormat="1" ht="13.5">
      <c r="B2438" s="30"/>
      <c r="C2438" s="30"/>
      <c r="D2438" s="31"/>
      <c r="E2438" s="35"/>
      <c r="F2438" s="130"/>
      <c r="G2438" s="14"/>
      <c r="H2438" s="14"/>
      <c r="I2438" s="14"/>
      <c r="J2438" s="14"/>
      <c r="K2438" s="14"/>
      <c r="L2438" s="14"/>
      <c r="M2438" s="14"/>
    </row>
    <row r="2439" spans="2:13" s="7" customFormat="1" ht="13.5">
      <c r="B2439" s="30"/>
      <c r="C2439" s="30"/>
      <c r="D2439" s="31"/>
      <c r="E2439" s="35"/>
      <c r="F2439" s="130"/>
      <c r="G2439" s="14"/>
      <c r="H2439" s="14"/>
      <c r="I2439" s="14"/>
      <c r="J2439" s="14"/>
      <c r="K2439" s="14"/>
      <c r="L2439" s="14"/>
      <c r="M2439" s="14"/>
    </row>
    <row r="2440" spans="2:13" s="7" customFormat="1" ht="13.5">
      <c r="B2440" s="30"/>
      <c r="C2440" s="30"/>
      <c r="D2440" s="31"/>
      <c r="E2440" s="35"/>
      <c r="F2440" s="130"/>
      <c r="G2440" s="14"/>
      <c r="H2440" s="14"/>
      <c r="I2440" s="14"/>
      <c r="J2440" s="14"/>
      <c r="K2440" s="14"/>
      <c r="L2440" s="14"/>
      <c r="M2440" s="14"/>
    </row>
    <row r="2441" spans="2:13" s="7" customFormat="1" ht="13.5">
      <c r="B2441" s="30"/>
      <c r="C2441" s="30"/>
      <c r="D2441" s="31"/>
      <c r="E2441" s="35"/>
      <c r="F2441" s="130"/>
      <c r="G2441" s="14"/>
      <c r="H2441" s="14"/>
      <c r="I2441" s="14"/>
      <c r="J2441" s="14"/>
      <c r="K2441" s="14"/>
      <c r="L2441" s="14"/>
      <c r="M2441" s="14"/>
    </row>
    <row r="2442" spans="2:13" s="7" customFormat="1" ht="13.5">
      <c r="B2442" s="30"/>
      <c r="C2442" s="30"/>
      <c r="D2442" s="31"/>
      <c r="E2442" s="35"/>
      <c r="F2442" s="130"/>
      <c r="G2442" s="14"/>
      <c r="H2442" s="14"/>
      <c r="I2442" s="14"/>
      <c r="J2442" s="14"/>
      <c r="K2442" s="14"/>
      <c r="L2442" s="14"/>
      <c r="M2442" s="14"/>
    </row>
    <row r="2443" spans="2:13" s="7" customFormat="1" ht="13.5">
      <c r="B2443" s="30"/>
      <c r="C2443" s="30"/>
      <c r="D2443" s="31"/>
      <c r="E2443" s="35"/>
      <c r="F2443" s="130"/>
      <c r="G2443" s="14"/>
      <c r="H2443" s="14"/>
      <c r="I2443" s="14"/>
      <c r="J2443" s="14"/>
      <c r="K2443" s="14"/>
      <c r="L2443" s="14"/>
      <c r="M2443" s="14"/>
    </row>
    <row r="2444" spans="2:13" s="7" customFormat="1" ht="13.5">
      <c r="B2444" s="30"/>
      <c r="C2444" s="30"/>
      <c r="D2444" s="31"/>
      <c r="E2444" s="35"/>
      <c r="F2444" s="130"/>
      <c r="G2444" s="14"/>
      <c r="H2444" s="14"/>
      <c r="I2444" s="14"/>
      <c r="J2444" s="14"/>
      <c r="K2444" s="14"/>
      <c r="L2444" s="14"/>
      <c r="M2444" s="14"/>
    </row>
    <row r="2445" spans="2:13" s="7" customFormat="1" ht="13.5">
      <c r="B2445" s="30"/>
      <c r="C2445" s="30"/>
      <c r="D2445" s="31"/>
      <c r="E2445" s="35"/>
      <c r="F2445" s="130"/>
      <c r="G2445" s="14"/>
      <c r="H2445" s="14"/>
      <c r="I2445" s="14"/>
      <c r="J2445" s="14"/>
      <c r="K2445" s="14"/>
      <c r="L2445" s="14"/>
      <c r="M2445" s="14"/>
    </row>
    <row r="2446" spans="2:13" s="7" customFormat="1" ht="13.5">
      <c r="B2446" s="30"/>
      <c r="C2446" s="30"/>
      <c r="D2446" s="31"/>
      <c r="E2446" s="35"/>
      <c r="F2446" s="130"/>
      <c r="G2446" s="14"/>
      <c r="H2446" s="14"/>
      <c r="I2446" s="14"/>
      <c r="J2446" s="14"/>
      <c r="K2446" s="14"/>
      <c r="L2446" s="14"/>
      <c r="M2446" s="14"/>
    </row>
    <row r="2447" spans="2:13" s="7" customFormat="1" ht="13.5">
      <c r="B2447" s="30"/>
      <c r="C2447" s="30"/>
      <c r="D2447" s="31"/>
      <c r="E2447" s="35"/>
      <c r="F2447" s="130"/>
      <c r="G2447" s="14"/>
      <c r="H2447" s="14"/>
      <c r="I2447" s="14"/>
      <c r="J2447" s="14"/>
      <c r="K2447" s="14"/>
      <c r="L2447" s="14"/>
      <c r="M2447" s="14"/>
    </row>
    <row r="2448" spans="2:13" s="7" customFormat="1" ht="13.5">
      <c r="B2448" s="30"/>
      <c r="C2448" s="30"/>
      <c r="D2448" s="31"/>
      <c r="E2448" s="35"/>
      <c r="F2448" s="130"/>
      <c r="G2448" s="14"/>
      <c r="H2448" s="14"/>
      <c r="I2448" s="14"/>
      <c r="J2448" s="14"/>
      <c r="K2448" s="14"/>
      <c r="L2448" s="14"/>
      <c r="M2448" s="14"/>
    </row>
    <row r="2449" spans="2:13" s="7" customFormat="1" ht="13.5">
      <c r="B2449" s="30"/>
      <c r="C2449" s="30"/>
      <c r="D2449" s="31"/>
      <c r="E2449" s="35"/>
      <c r="F2449" s="130"/>
      <c r="G2449" s="14"/>
      <c r="H2449" s="14"/>
      <c r="I2449" s="14"/>
      <c r="J2449" s="14"/>
      <c r="K2449" s="14"/>
      <c r="L2449" s="14"/>
      <c r="M2449" s="14"/>
    </row>
    <row r="2450" spans="2:13" s="7" customFormat="1" ht="13.5">
      <c r="B2450" s="30"/>
      <c r="C2450" s="30"/>
      <c r="D2450" s="31"/>
      <c r="E2450" s="35"/>
      <c r="F2450" s="130"/>
      <c r="G2450" s="14"/>
      <c r="H2450" s="14"/>
      <c r="I2450" s="14"/>
      <c r="J2450" s="14"/>
      <c r="K2450" s="14"/>
      <c r="L2450" s="14"/>
      <c r="M2450" s="14"/>
    </row>
    <row r="2451" spans="2:13" s="7" customFormat="1" ht="13.5">
      <c r="B2451" s="30"/>
      <c r="C2451" s="30"/>
      <c r="D2451" s="31"/>
      <c r="E2451" s="35"/>
      <c r="F2451" s="130"/>
      <c r="G2451" s="14"/>
      <c r="H2451" s="14"/>
      <c r="I2451" s="14"/>
      <c r="J2451" s="14"/>
      <c r="K2451" s="14"/>
      <c r="L2451" s="14"/>
      <c r="M2451" s="14"/>
    </row>
    <row r="2452" spans="2:13" s="7" customFormat="1" ht="13.5">
      <c r="B2452" s="30"/>
      <c r="C2452" s="30"/>
      <c r="D2452" s="31"/>
      <c r="E2452" s="35"/>
      <c r="F2452" s="130"/>
      <c r="G2452" s="14"/>
      <c r="H2452" s="14"/>
      <c r="I2452" s="14"/>
      <c r="J2452" s="14"/>
      <c r="K2452" s="14"/>
      <c r="L2452" s="14"/>
      <c r="M2452" s="14"/>
    </row>
    <row r="2453" spans="2:13" s="7" customFormat="1" ht="13.5">
      <c r="B2453" s="30"/>
      <c r="C2453" s="30"/>
      <c r="D2453" s="31"/>
      <c r="E2453" s="35"/>
      <c r="F2453" s="130"/>
      <c r="G2453" s="14"/>
      <c r="H2453" s="14"/>
      <c r="I2453" s="14"/>
      <c r="J2453" s="14"/>
      <c r="K2453" s="14"/>
      <c r="L2453" s="14"/>
      <c r="M2453" s="14"/>
    </row>
    <row r="2454" spans="2:13" s="7" customFormat="1" ht="13.5">
      <c r="B2454" s="30"/>
      <c r="C2454" s="30"/>
      <c r="D2454" s="31"/>
      <c r="E2454" s="35"/>
      <c r="F2454" s="130"/>
      <c r="G2454" s="14"/>
      <c r="H2454" s="14"/>
      <c r="I2454" s="14"/>
      <c r="J2454" s="14"/>
      <c r="K2454" s="14"/>
      <c r="L2454" s="14"/>
      <c r="M2454" s="14"/>
    </row>
    <row r="2455" spans="2:13" s="7" customFormat="1" ht="13.5">
      <c r="B2455" s="30"/>
      <c r="C2455" s="30"/>
      <c r="D2455" s="31"/>
      <c r="E2455" s="35"/>
      <c r="F2455" s="130"/>
      <c r="G2455" s="14"/>
      <c r="H2455" s="14"/>
      <c r="I2455" s="14"/>
      <c r="J2455" s="14"/>
      <c r="K2455" s="14"/>
      <c r="L2455" s="14"/>
      <c r="M2455" s="14"/>
    </row>
    <row r="2456" spans="2:13" s="7" customFormat="1" ht="13.5">
      <c r="B2456" s="30"/>
      <c r="C2456" s="30"/>
      <c r="D2456" s="31"/>
      <c r="E2456" s="35"/>
      <c r="F2456" s="130"/>
      <c r="G2456" s="14"/>
      <c r="H2456" s="14"/>
      <c r="I2456" s="14"/>
      <c r="J2456" s="14"/>
      <c r="K2456" s="14"/>
      <c r="L2456" s="14"/>
      <c r="M2456" s="14"/>
    </row>
    <row r="2457" spans="2:13" s="7" customFormat="1" ht="13.5">
      <c r="B2457" s="30"/>
      <c r="C2457" s="30"/>
      <c r="D2457" s="31"/>
      <c r="E2457" s="35"/>
      <c r="F2457" s="130"/>
      <c r="G2457" s="14"/>
      <c r="H2457" s="14"/>
      <c r="I2457" s="14"/>
      <c r="J2457" s="14"/>
      <c r="K2457" s="14"/>
      <c r="L2457" s="14"/>
      <c r="M2457" s="14"/>
    </row>
    <row r="2458" spans="2:13" s="7" customFormat="1" ht="13.5">
      <c r="B2458" s="30"/>
      <c r="C2458" s="30"/>
      <c r="D2458" s="31"/>
      <c r="E2458" s="35"/>
      <c r="F2458" s="130"/>
      <c r="G2458" s="14"/>
      <c r="H2458" s="14"/>
      <c r="I2458" s="14"/>
      <c r="J2458" s="14"/>
      <c r="K2458" s="14"/>
      <c r="L2458" s="14"/>
      <c r="M2458" s="14"/>
    </row>
    <row r="2459" spans="2:13" s="7" customFormat="1" ht="13.5">
      <c r="B2459" s="30"/>
      <c r="C2459" s="30"/>
      <c r="D2459" s="31"/>
      <c r="E2459" s="35"/>
      <c r="F2459" s="130"/>
      <c r="G2459" s="14"/>
      <c r="H2459" s="14"/>
      <c r="I2459" s="14"/>
      <c r="J2459" s="14"/>
      <c r="K2459" s="14"/>
      <c r="L2459" s="14"/>
      <c r="M2459" s="14"/>
    </row>
    <row r="2460" spans="2:13" s="7" customFormat="1" ht="13.5">
      <c r="B2460" s="30"/>
      <c r="C2460" s="30"/>
      <c r="D2460" s="31"/>
      <c r="E2460" s="35"/>
      <c r="F2460" s="130"/>
      <c r="G2460" s="14"/>
      <c r="H2460" s="14"/>
      <c r="I2460" s="14"/>
      <c r="J2460" s="14"/>
      <c r="K2460" s="14"/>
      <c r="L2460" s="14"/>
      <c r="M2460" s="14"/>
    </row>
    <row r="2461" spans="2:13" s="7" customFormat="1" ht="13.5">
      <c r="B2461" s="30"/>
      <c r="C2461" s="30"/>
      <c r="D2461" s="31"/>
      <c r="E2461" s="35"/>
      <c r="F2461" s="130"/>
      <c r="G2461" s="14"/>
      <c r="H2461" s="14"/>
      <c r="I2461" s="14"/>
      <c r="J2461" s="14"/>
      <c r="K2461" s="14"/>
      <c r="L2461" s="14"/>
      <c r="M2461" s="14"/>
    </row>
    <row r="2462" spans="2:13" s="7" customFormat="1" ht="13.5">
      <c r="B2462" s="30"/>
      <c r="C2462" s="30"/>
      <c r="D2462" s="31"/>
      <c r="E2462" s="35"/>
      <c r="F2462" s="130"/>
      <c r="G2462" s="14"/>
      <c r="H2462" s="14"/>
      <c r="I2462" s="14"/>
      <c r="J2462" s="14"/>
      <c r="K2462" s="14"/>
      <c r="L2462" s="14"/>
      <c r="M2462" s="14"/>
    </row>
    <row r="2463" spans="2:13" s="7" customFormat="1" ht="13.5">
      <c r="B2463" s="30"/>
      <c r="C2463" s="30"/>
      <c r="D2463" s="31"/>
      <c r="E2463" s="35"/>
      <c r="F2463" s="130"/>
      <c r="G2463" s="14"/>
      <c r="H2463" s="14"/>
      <c r="I2463" s="14"/>
      <c r="J2463" s="14"/>
      <c r="K2463" s="14"/>
      <c r="L2463" s="14"/>
      <c r="M2463" s="14"/>
    </row>
    <row r="2464" spans="2:13" s="7" customFormat="1" ht="13.5">
      <c r="B2464" s="30"/>
      <c r="C2464" s="30"/>
      <c r="D2464" s="31"/>
      <c r="E2464" s="35"/>
      <c r="F2464" s="130"/>
      <c r="G2464" s="14"/>
      <c r="H2464" s="14"/>
      <c r="I2464" s="14"/>
      <c r="J2464" s="14"/>
      <c r="K2464" s="14"/>
      <c r="L2464" s="14"/>
      <c r="M2464" s="14"/>
    </row>
    <row r="2465" spans="2:13" s="7" customFormat="1" ht="13.5">
      <c r="B2465" s="30"/>
      <c r="C2465" s="30"/>
      <c r="D2465" s="31"/>
      <c r="E2465" s="35"/>
      <c r="F2465" s="130"/>
      <c r="G2465" s="14"/>
      <c r="H2465" s="14"/>
      <c r="I2465" s="14"/>
      <c r="J2465" s="14"/>
      <c r="K2465" s="14"/>
      <c r="L2465" s="14"/>
      <c r="M2465" s="14"/>
    </row>
    <row r="2466" spans="2:13" s="7" customFormat="1" ht="13.5">
      <c r="B2466" s="30"/>
      <c r="C2466" s="30"/>
      <c r="D2466" s="31"/>
      <c r="E2466" s="35"/>
      <c r="F2466" s="130"/>
      <c r="G2466" s="14"/>
      <c r="H2466" s="14"/>
      <c r="I2466" s="14"/>
      <c r="J2466" s="14"/>
      <c r="K2466" s="14"/>
      <c r="L2466" s="14"/>
      <c r="M2466" s="14"/>
    </row>
    <row r="2467" spans="2:13" s="7" customFormat="1" ht="13.5">
      <c r="B2467" s="30"/>
      <c r="C2467" s="30"/>
      <c r="D2467" s="31"/>
      <c r="E2467" s="35"/>
      <c r="F2467" s="130"/>
      <c r="G2467" s="14"/>
      <c r="H2467" s="14"/>
      <c r="I2467" s="14"/>
      <c r="J2467" s="14"/>
      <c r="K2467" s="14"/>
      <c r="L2467" s="14"/>
      <c r="M2467" s="14"/>
    </row>
    <row r="2468" spans="2:13" s="7" customFormat="1" ht="13.5">
      <c r="B2468" s="30"/>
      <c r="C2468" s="30"/>
      <c r="D2468" s="31"/>
      <c r="E2468" s="35"/>
      <c r="F2468" s="130"/>
      <c r="G2468" s="14"/>
      <c r="H2468" s="14"/>
      <c r="I2468" s="14"/>
      <c r="J2468" s="14"/>
      <c r="K2468" s="14"/>
      <c r="L2468" s="14"/>
      <c r="M2468" s="14"/>
    </row>
    <row r="2469" spans="2:13" s="7" customFormat="1" ht="13.5">
      <c r="B2469" s="30"/>
      <c r="C2469" s="30"/>
      <c r="D2469" s="31"/>
      <c r="E2469" s="35"/>
      <c r="F2469" s="130"/>
      <c r="G2469" s="14"/>
      <c r="H2469" s="14"/>
      <c r="I2469" s="14"/>
      <c r="J2469" s="14"/>
      <c r="K2469" s="14"/>
      <c r="L2469" s="14"/>
      <c r="M2469" s="14"/>
    </row>
    <row r="2470" spans="2:13" s="7" customFormat="1" ht="13.5">
      <c r="B2470" s="30"/>
      <c r="C2470" s="30"/>
      <c r="D2470" s="31"/>
      <c r="E2470" s="35"/>
      <c r="F2470" s="130"/>
      <c r="G2470" s="14"/>
      <c r="H2470" s="14"/>
      <c r="I2470" s="14"/>
      <c r="J2470" s="14"/>
      <c r="K2470" s="14"/>
      <c r="L2470" s="14"/>
      <c r="M2470" s="14"/>
    </row>
    <row r="2471" spans="2:13" s="7" customFormat="1" ht="13.5">
      <c r="B2471" s="30"/>
      <c r="C2471" s="30"/>
      <c r="D2471" s="31"/>
      <c r="E2471" s="35"/>
      <c r="F2471" s="130"/>
      <c r="G2471" s="14"/>
      <c r="H2471" s="14"/>
      <c r="I2471" s="14"/>
      <c r="J2471" s="14"/>
      <c r="K2471" s="14"/>
      <c r="L2471" s="14"/>
      <c r="M2471" s="14"/>
    </row>
    <row r="2472" spans="2:13" s="7" customFormat="1" ht="13.5">
      <c r="B2472" s="30"/>
      <c r="C2472" s="30"/>
      <c r="D2472" s="31"/>
      <c r="E2472" s="35"/>
      <c r="F2472" s="130"/>
      <c r="G2472" s="14"/>
      <c r="H2472" s="14"/>
      <c r="I2472" s="14"/>
      <c r="J2472" s="14"/>
      <c r="K2472" s="14"/>
      <c r="L2472" s="14"/>
      <c r="M2472" s="14"/>
    </row>
    <row r="2473" spans="2:13" s="7" customFormat="1" ht="13.5">
      <c r="B2473" s="30"/>
      <c r="C2473" s="30"/>
      <c r="D2473" s="31"/>
      <c r="E2473" s="35"/>
      <c r="F2473" s="130"/>
      <c r="G2473" s="14"/>
      <c r="H2473" s="14"/>
      <c r="I2473" s="14"/>
      <c r="J2473" s="14"/>
      <c r="K2473" s="14"/>
      <c r="L2473" s="14"/>
      <c r="M2473" s="14"/>
    </row>
    <row r="2474" spans="2:13" s="7" customFormat="1" ht="13.5">
      <c r="B2474" s="30"/>
      <c r="C2474" s="30"/>
      <c r="D2474" s="31"/>
      <c r="E2474" s="35"/>
      <c r="F2474" s="130"/>
      <c r="G2474" s="14"/>
      <c r="H2474" s="14"/>
      <c r="I2474" s="14"/>
      <c r="J2474" s="14"/>
      <c r="K2474" s="14"/>
      <c r="L2474" s="14"/>
      <c r="M2474" s="14"/>
    </row>
    <row r="2475" spans="2:13" s="7" customFormat="1" ht="13.5">
      <c r="B2475" s="30"/>
      <c r="C2475" s="30"/>
      <c r="D2475" s="31"/>
      <c r="E2475" s="35"/>
      <c r="F2475" s="130"/>
      <c r="G2475" s="14"/>
      <c r="H2475" s="14"/>
      <c r="I2475" s="14"/>
      <c r="J2475" s="14"/>
      <c r="K2475" s="14"/>
      <c r="L2475" s="14"/>
      <c r="M2475" s="14"/>
    </row>
    <row r="2476" spans="2:13" s="7" customFormat="1" ht="13.5">
      <c r="B2476" s="30"/>
      <c r="C2476" s="30"/>
      <c r="D2476" s="31"/>
      <c r="E2476" s="35"/>
      <c r="F2476" s="130"/>
      <c r="G2476" s="14"/>
      <c r="H2476" s="14"/>
      <c r="I2476" s="14"/>
      <c r="J2476" s="14"/>
      <c r="K2476" s="14"/>
      <c r="L2476" s="14"/>
      <c r="M2476" s="14"/>
    </row>
    <row r="2477" spans="2:13" s="7" customFormat="1" ht="13.5">
      <c r="B2477" s="30"/>
      <c r="C2477" s="30"/>
      <c r="D2477" s="31"/>
      <c r="E2477" s="35"/>
      <c r="F2477" s="130"/>
      <c r="G2477" s="14"/>
      <c r="H2477" s="14"/>
      <c r="I2477" s="14"/>
      <c r="J2477" s="14"/>
      <c r="K2477" s="14"/>
      <c r="L2477" s="14"/>
      <c r="M2477" s="14"/>
    </row>
    <row r="2478" spans="2:13" s="7" customFormat="1" ht="13.5">
      <c r="B2478" s="30"/>
      <c r="C2478" s="30"/>
      <c r="D2478" s="31"/>
      <c r="E2478" s="35"/>
      <c r="F2478" s="130"/>
      <c r="G2478" s="14"/>
      <c r="H2478" s="14"/>
      <c r="I2478" s="14"/>
      <c r="J2478" s="14"/>
      <c r="K2478" s="14"/>
      <c r="L2478" s="14"/>
      <c r="M2478" s="14"/>
    </row>
    <row r="2479" spans="2:13" s="7" customFormat="1" ht="13.5">
      <c r="B2479" s="30"/>
      <c r="C2479" s="30"/>
      <c r="D2479" s="31"/>
      <c r="E2479" s="35"/>
      <c r="F2479" s="130"/>
      <c r="G2479" s="14"/>
      <c r="H2479" s="14"/>
      <c r="I2479" s="14"/>
      <c r="J2479" s="14"/>
      <c r="K2479" s="14"/>
      <c r="L2479" s="14"/>
      <c r="M2479" s="14"/>
    </row>
    <row r="2480" spans="2:13" s="7" customFormat="1" ht="13.5">
      <c r="B2480" s="30"/>
      <c r="C2480" s="30"/>
      <c r="D2480" s="31"/>
      <c r="E2480" s="35"/>
      <c r="F2480" s="130"/>
      <c r="G2480" s="14"/>
      <c r="H2480" s="14"/>
      <c r="I2480" s="14"/>
      <c r="J2480" s="14"/>
      <c r="K2480" s="14"/>
      <c r="L2480" s="14"/>
      <c r="M2480" s="14"/>
    </row>
    <row r="2481" spans="2:13" s="7" customFormat="1" ht="13.5">
      <c r="B2481" s="30"/>
      <c r="C2481" s="30"/>
      <c r="D2481" s="31"/>
      <c r="E2481" s="35"/>
      <c r="F2481" s="130"/>
      <c r="G2481" s="14"/>
      <c r="H2481" s="14"/>
      <c r="I2481" s="14"/>
      <c r="J2481" s="14"/>
      <c r="K2481" s="14"/>
      <c r="L2481" s="14"/>
      <c r="M2481" s="14"/>
    </row>
    <row r="2482" spans="2:13" s="7" customFormat="1" ht="13.5">
      <c r="B2482" s="30"/>
      <c r="C2482" s="30"/>
      <c r="D2482" s="31"/>
      <c r="E2482" s="35"/>
      <c r="F2482" s="130"/>
      <c r="G2482" s="14"/>
      <c r="H2482" s="14"/>
      <c r="I2482" s="14"/>
      <c r="J2482" s="14"/>
      <c r="K2482" s="14"/>
      <c r="L2482" s="14"/>
      <c r="M2482" s="14"/>
    </row>
    <row r="2483" spans="2:13" s="7" customFormat="1" ht="13.5">
      <c r="B2483" s="30"/>
      <c r="C2483" s="30"/>
      <c r="D2483" s="31"/>
      <c r="E2483" s="35"/>
      <c r="F2483" s="130"/>
      <c r="G2483" s="14"/>
      <c r="H2483" s="14"/>
      <c r="I2483" s="14"/>
      <c r="J2483" s="14"/>
      <c r="K2483" s="14"/>
      <c r="L2483" s="14"/>
      <c r="M2483" s="14"/>
    </row>
    <row r="2484" spans="2:13" s="7" customFormat="1" ht="13.5">
      <c r="B2484" s="30"/>
      <c r="C2484" s="30"/>
      <c r="D2484" s="31"/>
      <c r="E2484" s="35"/>
      <c r="F2484" s="130"/>
      <c r="G2484" s="14"/>
      <c r="H2484" s="14"/>
      <c r="I2484" s="14"/>
      <c r="J2484" s="14"/>
      <c r="K2484" s="14"/>
      <c r="L2484" s="14"/>
      <c r="M2484" s="14"/>
    </row>
    <row r="2485" spans="2:13" s="7" customFormat="1" ht="13.5">
      <c r="B2485" s="30"/>
      <c r="C2485" s="30"/>
      <c r="D2485" s="31"/>
      <c r="E2485" s="35"/>
      <c r="F2485" s="130"/>
      <c r="G2485" s="14"/>
      <c r="H2485" s="14"/>
      <c r="I2485" s="14"/>
      <c r="J2485" s="14"/>
      <c r="K2485" s="14"/>
      <c r="L2485" s="14"/>
      <c r="M2485" s="14"/>
    </row>
    <row r="2486" spans="2:13" s="7" customFormat="1" ht="13.5">
      <c r="B2486" s="30"/>
      <c r="C2486" s="30"/>
      <c r="D2486" s="31"/>
      <c r="E2486" s="35"/>
      <c r="F2486" s="130"/>
      <c r="G2486" s="14"/>
      <c r="H2486" s="14"/>
      <c r="I2486" s="14"/>
      <c r="J2486" s="14"/>
      <c r="K2486" s="14"/>
      <c r="L2486" s="14"/>
      <c r="M2486" s="14"/>
    </row>
    <row r="2487" spans="2:13" s="7" customFormat="1" ht="13.5">
      <c r="B2487" s="30"/>
      <c r="C2487" s="30"/>
      <c r="D2487" s="31"/>
      <c r="E2487" s="35"/>
      <c r="F2487" s="130"/>
      <c r="G2487" s="14"/>
      <c r="H2487" s="14"/>
      <c r="I2487" s="14"/>
      <c r="J2487" s="14"/>
      <c r="K2487" s="14"/>
      <c r="L2487" s="14"/>
      <c r="M2487" s="14"/>
    </row>
    <row r="2488" spans="2:13" s="7" customFormat="1" ht="13.5">
      <c r="B2488" s="30"/>
      <c r="C2488" s="30"/>
      <c r="D2488" s="31"/>
      <c r="E2488" s="35"/>
      <c r="F2488" s="130"/>
      <c r="G2488" s="14"/>
      <c r="H2488" s="14"/>
      <c r="I2488" s="14"/>
      <c r="J2488" s="14"/>
      <c r="K2488" s="14"/>
      <c r="L2488" s="14"/>
      <c r="M2488" s="14"/>
    </row>
    <row r="2489" spans="2:13" s="7" customFormat="1" ht="13.5">
      <c r="B2489" s="30"/>
      <c r="C2489" s="30"/>
      <c r="D2489" s="31"/>
      <c r="E2489" s="35"/>
      <c r="F2489" s="130"/>
      <c r="G2489" s="14"/>
      <c r="H2489" s="14"/>
      <c r="I2489" s="14"/>
      <c r="J2489" s="14"/>
      <c r="K2489" s="14"/>
      <c r="L2489" s="14"/>
      <c r="M2489" s="14"/>
    </row>
    <row r="2490" spans="2:13" s="7" customFormat="1" ht="13.5">
      <c r="B2490" s="30"/>
      <c r="C2490" s="30"/>
      <c r="D2490" s="31"/>
      <c r="E2490" s="35"/>
      <c r="F2490" s="130"/>
      <c r="G2490" s="14"/>
      <c r="H2490" s="14"/>
      <c r="I2490" s="14"/>
      <c r="J2490" s="14"/>
      <c r="K2490" s="14"/>
      <c r="L2490" s="14"/>
      <c r="M2490" s="14"/>
    </row>
    <row r="2491" spans="2:13" s="7" customFormat="1" ht="13.5">
      <c r="B2491" s="30"/>
      <c r="C2491" s="30"/>
      <c r="D2491" s="31"/>
      <c r="E2491" s="35"/>
      <c r="F2491" s="130"/>
      <c r="G2491" s="14"/>
      <c r="H2491" s="14"/>
      <c r="I2491" s="14"/>
      <c r="J2491" s="14"/>
      <c r="K2491" s="14"/>
      <c r="L2491" s="14"/>
      <c r="M2491" s="14"/>
    </row>
    <row r="2492" spans="2:13" s="7" customFormat="1" ht="13.5">
      <c r="B2492" s="30"/>
      <c r="C2492" s="30"/>
      <c r="D2492" s="31"/>
      <c r="E2492" s="35"/>
      <c r="F2492" s="130"/>
      <c r="G2492" s="14"/>
      <c r="H2492" s="14"/>
      <c r="I2492" s="14"/>
      <c r="J2492" s="14"/>
      <c r="K2492" s="14"/>
      <c r="L2492" s="14"/>
      <c r="M2492" s="14"/>
    </row>
    <row r="2493" spans="2:13" s="7" customFormat="1" ht="13.5">
      <c r="B2493" s="30"/>
      <c r="C2493" s="30"/>
      <c r="D2493" s="31"/>
      <c r="E2493" s="35"/>
      <c r="F2493" s="130"/>
      <c r="G2493" s="14"/>
      <c r="H2493" s="14"/>
      <c r="I2493" s="14"/>
      <c r="J2493" s="14"/>
      <c r="K2493" s="14"/>
      <c r="L2493" s="14"/>
      <c r="M2493" s="14"/>
    </row>
    <row r="2494" spans="2:13" s="7" customFormat="1" ht="13.5">
      <c r="B2494" s="30"/>
      <c r="C2494" s="30"/>
      <c r="D2494" s="31"/>
      <c r="E2494" s="35"/>
      <c r="F2494" s="130"/>
      <c r="G2494" s="14"/>
      <c r="H2494" s="14"/>
      <c r="I2494" s="14"/>
      <c r="J2494" s="14"/>
      <c r="K2494" s="14"/>
      <c r="L2494" s="14"/>
      <c r="M2494" s="14"/>
    </row>
    <row r="2495" spans="2:13" s="7" customFormat="1" ht="13.5">
      <c r="B2495" s="30"/>
      <c r="C2495" s="30"/>
      <c r="D2495" s="31"/>
      <c r="E2495" s="35"/>
      <c r="F2495" s="130"/>
      <c r="G2495" s="14"/>
      <c r="H2495" s="14"/>
      <c r="I2495" s="14"/>
      <c r="J2495" s="14"/>
      <c r="K2495" s="14"/>
      <c r="L2495" s="14"/>
      <c r="M2495" s="14"/>
    </row>
    <row r="2496" spans="2:13" s="7" customFormat="1" ht="13.5">
      <c r="B2496" s="30"/>
      <c r="C2496" s="30"/>
      <c r="D2496" s="31"/>
      <c r="E2496" s="35"/>
      <c r="F2496" s="130"/>
      <c r="G2496" s="14"/>
      <c r="H2496" s="14"/>
      <c r="I2496" s="14"/>
      <c r="J2496" s="14"/>
      <c r="K2496" s="14"/>
      <c r="L2496" s="14"/>
      <c r="M2496" s="14"/>
    </row>
    <row r="2497" spans="2:13" s="7" customFormat="1" ht="13.5">
      <c r="B2497" s="30"/>
      <c r="C2497" s="30"/>
      <c r="D2497" s="31"/>
      <c r="E2497" s="35"/>
      <c r="F2497" s="130"/>
      <c r="G2497" s="14"/>
      <c r="H2497" s="14"/>
      <c r="I2497" s="14"/>
      <c r="J2497" s="14"/>
      <c r="K2497" s="14"/>
      <c r="L2497" s="14"/>
      <c r="M2497" s="14"/>
    </row>
    <row r="2498" spans="2:13" s="7" customFormat="1" ht="13.5">
      <c r="B2498" s="30"/>
      <c r="C2498" s="30"/>
      <c r="D2498" s="31"/>
      <c r="E2498" s="35"/>
      <c r="F2498" s="130"/>
      <c r="G2498" s="14"/>
      <c r="H2498" s="14"/>
      <c r="I2498" s="14"/>
      <c r="J2498" s="14"/>
      <c r="K2498" s="14"/>
      <c r="L2498" s="14"/>
      <c r="M2498" s="14"/>
    </row>
    <row r="2499" spans="2:13" s="7" customFormat="1" ht="13.5">
      <c r="B2499" s="30"/>
      <c r="C2499" s="30"/>
      <c r="D2499" s="31"/>
      <c r="E2499" s="35"/>
      <c r="F2499" s="130"/>
      <c r="G2499" s="14"/>
      <c r="H2499" s="14"/>
      <c r="I2499" s="14"/>
      <c r="J2499" s="14"/>
      <c r="K2499" s="14"/>
      <c r="L2499" s="14"/>
      <c r="M2499" s="14"/>
    </row>
    <row r="2500" spans="2:13" s="7" customFormat="1" ht="13.5">
      <c r="B2500" s="30"/>
      <c r="C2500" s="30"/>
      <c r="D2500" s="31"/>
      <c r="E2500" s="35"/>
      <c r="F2500" s="130"/>
      <c r="G2500" s="14"/>
      <c r="H2500" s="14"/>
      <c r="I2500" s="14"/>
      <c r="J2500" s="14"/>
      <c r="K2500" s="14"/>
      <c r="L2500" s="14"/>
      <c r="M2500" s="14"/>
    </row>
    <row r="2501" spans="2:13" s="7" customFormat="1" ht="13.5">
      <c r="B2501" s="30"/>
      <c r="C2501" s="30"/>
      <c r="D2501" s="31"/>
      <c r="E2501" s="35"/>
      <c r="F2501" s="130"/>
      <c r="G2501" s="14"/>
      <c r="H2501" s="14"/>
      <c r="I2501" s="14"/>
      <c r="J2501" s="14"/>
      <c r="K2501" s="14"/>
      <c r="L2501" s="14"/>
      <c r="M2501" s="14"/>
    </row>
    <row r="2502" spans="2:13" s="7" customFormat="1" ht="13.5">
      <c r="B2502" s="30"/>
      <c r="C2502" s="30"/>
      <c r="D2502" s="31"/>
      <c r="E2502" s="35"/>
      <c r="F2502" s="130"/>
      <c r="G2502" s="14"/>
      <c r="H2502" s="14"/>
      <c r="I2502" s="14"/>
      <c r="J2502" s="14"/>
      <c r="K2502" s="14"/>
      <c r="L2502" s="14"/>
      <c r="M2502" s="14"/>
    </row>
    <row r="2503" spans="2:13" s="7" customFormat="1" ht="13.5">
      <c r="B2503" s="30"/>
      <c r="C2503" s="30"/>
      <c r="D2503" s="31"/>
      <c r="E2503" s="35"/>
      <c r="F2503" s="130"/>
      <c r="G2503" s="14"/>
      <c r="H2503" s="14"/>
      <c r="I2503" s="14"/>
      <c r="J2503" s="14"/>
      <c r="K2503" s="14"/>
      <c r="L2503" s="14"/>
      <c r="M2503" s="14"/>
    </row>
    <row r="2504" spans="2:13" s="7" customFormat="1" ht="13.5">
      <c r="B2504" s="30"/>
      <c r="C2504" s="30"/>
      <c r="D2504" s="31"/>
      <c r="E2504" s="35"/>
      <c r="F2504" s="130"/>
      <c r="G2504" s="14"/>
      <c r="H2504" s="14"/>
      <c r="I2504" s="14"/>
      <c r="J2504" s="14"/>
      <c r="K2504" s="14"/>
      <c r="L2504" s="14"/>
      <c r="M2504" s="14"/>
    </row>
    <row r="2505" spans="2:13" s="7" customFormat="1" ht="13.5">
      <c r="B2505" s="30"/>
      <c r="C2505" s="30"/>
      <c r="D2505" s="31"/>
      <c r="E2505" s="35"/>
      <c r="F2505" s="130"/>
      <c r="G2505" s="14"/>
      <c r="H2505" s="14"/>
      <c r="I2505" s="14"/>
      <c r="J2505" s="14"/>
      <c r="K2505" s="14"/>
      <c r="L2505" s="14"/>
      <c r="M2505" s="14"/>
    </row>
    <row r="2506" spans="2:13" s="7" customFormat="1" ht="13.5">
      <c r="B2506" s="30"/>
      <c r="C2506" s="30"/>
      <c r="D2506" s="31"/>
      <c r="E2506" s="35"/>
      <c r="F2506" s="130"/>
      <c r="G2506" s="14"/>
      <c r="H2506" s="14"/>
      <c r="I2506" s="14"/>
      <c r="J2506" s="14"/>
      <c r="K2506" s="14"/>
      <c r="L2506" s="14"/>
      <c r="M2506" s="14"/>
    </row>
    <row r="2507" spans="2:13" s="7" customFormat="1" ht="13.5">
      <c r="B2507" s="30"/>
      <c r="C2507" s="30"/>
      <c r="D2507" s="31"/>
      <c r="E2507" s="35"/>
      <c r="F2507" s="130"/>
      <c r="G2507" s="14"/>
      <c r="H2507" s="14"/>
      <c r="I2507" s="14"/>
      <c r="J2507" s="14"/>
      <c r="K2507" s="14"/>
      <c r="L2507" s="14"/>
      <c r="M2507" s="14"/>
    </row>
    <row r="2508" spans="2:13" s="7" customFormat="1" ht="13.5">
      <c r="B2508" s="30"/>
      <c r="C2508" s="30"/>
      <c r="D2508" s="31"/>
      <c r="E2508" s="35"/>
      <c r="F2508" s="130"/>
      <c r="G2508" s="14"/>
      <c r="H2508" s="14"/>
      <c r="I2508" s="14"/>
      <c r="J2508" s="14"/>
      <c r="K2508" s="14"/>
      <c r="L2508" s="14"/>
      <c r="M2508" s="14"/>
    </row>
    <row r="2509" spans="2:13" s="7" customFormat="1" ht="13.5">
      <c r="B2509" s="30"/>
      <c r="C2509" s="30"/>
      <c r="D2509" s="31"/>
      <c r="E2509" s="35"/>
      <c r="F2509" s="130"/>
      <c r="G2509" s="14"/>
      <c r="H2509" s="14"/>
      <c r="I2509" s="14"/>
      <c r="J2509" s="14"/>
      <c r="K2509" s="14"/>
      <c r="L2509" s="14"/>
      <c r="M2509" s="14"/>
    </row>
    <row r="2510" spans="2:13" s="7" customFormat="1" ht="13.5">
      <c r="B2510" s="30"/>
      <c r="C2510" s="30"/>
      <c r="D2510" s="31"/>
      <c r="E2510" s="35"/>
      <c r="F2510" s="130"/>
      <c r="G2510" s="14"/>
      <c r="H2510" s="14"/>
      <c r="I2510" s="14"/>
      <c r="J2510" s="14"/>
      <c r="K2510" s="14"/>
      <c r="L2510" s="14"/>
      <c r="M2510" s="14"/>
    </row>
    <row r="2511" spans="2:13" s="7" customFormat="1" ht="13.5">
      <c r="B2511" s="30"/>
      <c r="C2511" s="30"/>
      <c r="D2511" s="31"/>
      <c r="E2511" s="35"/>
      <c r="F2511" s="130"/>
      <c r="G2511" s="14"/>
      <c r="H2511" s="14"/>
      <c r="I2511" s="14"/>
      <c r="J2511" s="14"/>
      <c r="K2511" s="14"/>
      <c r="L2511" s="14"/>
      <c r="M2511" s="14"/>
    </row>
    <row r="2512" spans="2:13" s="7" customFormat="1" ht="13.5">
      <c r="B2512" s="30"/>
      <c r="C2512" s="30"/>
      <c r="D2512" s="31"/>
      <c r="E2512" s="35"/>
      <c r="F2512" s="130"/>
      <c r="G2512" s="14"/>
      <c r="H2512" s="14"/>
      <c r="I2512" s="14"/>
      <c r="J2512" s="14"/>
      <c r="K2512" s="14"/>
      <c r="L2512" s="14"/>
      <c r="M2512" s="14"/>
    </row>
    <row r="2513" spans="2:13" s="7" customFormat="1" ht="13.5">
      <c r="B2513" s="30"/>
      <c r="C2513" s="30"/>
      <c r="D2513" s="31"/>
      <c r="E2513" s="35"/>
      <c r="F2513" s="130"/>
      <c r="G2513" s="14"/>
      <c r="H2513" s="14"/>
      <c r="I2513" s="14"/>
      <c r="J2513" s="14"/>
      <c r="K2513" s="14"/>
      <c r="L2513" s="14"/>
      <c r="M2513" s="14"/>
    </row>
    <row r="2514" spans="2:13" s="7" customFormat="1" ht="13.5">
      <c r="B2514" s="30"/>
      <c r="C2514" s="30"/>
      <c r="D2514" s="31"/>
      <c r="E2514" s="35"/>
      <c r="F2514" s="130"/>
      <c r="G2514" s="14"/>
      <c r="H2514" s="14"/>
      <c r="I2514" s="14"/>
      <c r="J2514" s="14"/>
      <c r="K2514" s="14"/>
      <c r="L2514" s="14"/>
      <c r="M2514" s="14"/>
    </row>
    <row r="2515" spans="2:13" s="7" customFormat="1" ht="13.5">
      <c r="B2515" s="30"/>
      <c r="C2515" s="30"/>
      <c r="D2515" s="31"/>
      <c r="E2515" s="35"/>
      <c r="F2515" s="130"/>
      <c r="G2515" s="14"/>
      <c r="H2515" s="14"/>
      <c r="I2515" s="14"/>
      <c r="J2515" s="14"/>
      <c r="K2515" s="14"/>
      <c r="L2515" s="14"/>
      <c r="M2515" s="14"/>
    </row>
    <row r="2516" spans="2:13" s="7" customFormat="1" ht="13.5">
      <c r="B2516" s="30"/>
      <c r="C2516" s="30"/>
      <c r="D2516" s="31"/>
      <c r="E2516" s="35"/>
      <c r="F2516" s="130"/>
      <c r="G2516" s="14"/>
      <c r="H2516" s="14"/>
      <c r="I2516" s="14"/>
      <c r="J2516" s="14"/>
      <c r="K2516" s="14"/>
      <c r="L2516" s="14"/>
      <c r="M2516" s="14"/>
    </row>
    <row r="2517" spans="2:13" s="7" customFormat="1" ht="13.5">
      <c r="B2517" s="30"/>
      <c r="C2517" s="30"/>
      <c r="D2517" s="31"/>
      <c r="E2517" s="35"/>
      <c r="F2517" s="130"/>
      <c r="G2517" s="14"/>
      <c r="H2517" s="14"/>
      <c r="I2517" s="14"/>
      <c r="J2517" s="14"/>
      <c r="K2517" s="14"/>
      <c r="L2517" s="14"/>
      <c r="M2517" s="14"/>
    </row>
    <row r="2518" spans="2:13" s="7" customFormat="1" ht="13.5">
      <c r="B2518" s="30"/>
      <c r="C2518" s="30"/>
      <c r="D2518" s="31"/>
      <c r="E2518" s="35"/>
      <c r="F2518" s="130"/>
      <c r="G2518" s="14"/>
      <c r="H2518" s="14"/>
      <c r="I2518" s="14"/>
      <c r="J2518" s="14"/>
      <c r="K2518" s="14"/>
      <c r="L2518" s="14"/>
      <c r="M2518" s="14"/>
    </row>
    <row r="2519" spans="2:13" s="7" customFormat="1" ht="13.5">
      <c r="B2519" s="30"/>
      <c r="C2519" s="30"/>
      <c r="D2519" s="31"/>
      <c r="E2519" s="35"/>
      <c r="F2519" s="130"/>
      <c r="G2519" s="14"/>
      <c r="H2519" s="14"/>
      <c r="I2519" s="14"/>
      <c r="J2519" s="14"/>
      <c r="K2519" s="14"/>
      <c r="L2519" s="14"/>
      <c r="M2519" s="14"/>
    </row>
    <row r="2520" spans="2:13" s="7" customFormat="1" ht="13.5">
      <c r="B2520" s="30"/>
      <c r="C2520" s="30"/>
      <c r="D2520" s="31"/>
      <c r="E2520" s="35"/>
      <c r="F2520" s="130"/>
      <c r="G2520" s="14"/>
      <c r="H2520" s="14"/>
      <c r="I2520" s="14"/>
      <c r="J2520" s="14"/>
      <c r="K2520" s="14"/>
      <c r="L2520" s="14"/>
      <c r="M2520" s="14"/>
    </row>
    <row r="2521" spans="2:13" s="7" customFormat="1" ht="13.5">
      <c r="B2521" s="30"/>
      <c r="C2521" s="30"/>
      <c r="D2521" s="31"/>
      <c r="E2521" s="35"/>
      <c r="F2521" s="130"/>
      <c r="G2521" s="14"/>
      <c r="H2521" s="14"/>
      <c r="I2521" s="14"/>
      <c r="J2521" s="14"/>
      <c r="K2521" s="14"/>
      <c r="L2521" s="14"/>
      <c r="M2521" s="14"/>
    </row>
    <row r="2522" spans="2:13" s="7" customFormat="1" ht="13.5">
      <c r="B2522" s="30"/>
      <c r="C2522" s="30"/>
      <c r="D2522" s="31"/>
      <c r="E2522" s="35"/>
      <c r="F2522" s="130"/>
      <c r="G2522" s="14"/>
      <c r="H2522" s="14"/>
      <c r="I2522" s="14"/>
      <c r="J2522" s="14"/>
      <c r="K2522" s="14"/>
      <c r="L2522" s="14"/>
      <c r="M2522" s="14"/>
    </row>
    <row r="2523" spans="2:13" s="7" customFormat="1" ht="13.5">
      <c r="B2523" s="30"/>
      <c r="C2523" s="30"/>
      <c r="D2523" s="31"/>
      <c r="E2523" s="35"/>
      <c r="F2523" s="130"/>
      <c r="G2523" s="14"/>
      <c r="H2523" s="14"/>
      <c r="I2523" s="14"/>
      <c r="J2523" s="14"/>
      <c r="K2523" s="14"/>
      <c r="L2523" s="14"/>
      <c r="M2523" s="14"/>
    </row>
    <row r="2524" spans="2:13" s="7" customFormat="1" ht="13.5">
      <c r="B2524" s="30"/>
      <c r="C2524" s="30"/>
      <c r="D2524" s="31"/>
      <c r="E2524" s="35"/>
      <c r="F2524" s="130"/>
      <c r="G2524" s="14"/>
      <c r="H2524" s="14"/>
      <c r="I2524" s="14"/>
      <c r="J2524" s="14"/>
      <c r="K2524" s="14"/>
      <c r="L2524" s="14"/>
      <c r="M2524" s="14"/>
    </row>
    <row r="2525" spans="2:13" s="7" customFormat="1" ht="13.5">
      <c r="B2525" s="30"/>
      <c r="C2525" s="30"/>
      <c r="D2525" s="31"/>
      <c r="E2525" s="35"/>
      <c r="F2525" s="130"/>
      <c r="G2525" s="14"/>
      <c r="H2525" s="14"/>
      <c r="I2525" s="14"/>
      <c r="J2525" s="14"/>
      <c r="K2525" s="14"/>
      <c r="L2525" s="14"/>
      <c r="M2525" s="14"/>
    </row>
    <row r="2526" spans="2:13" s="7" customFormat="1" ht="13.5">
      <c r="B2526" s="30"/>
      <c r="C2526" s="30"/>
      <c r="D2526" s="31"/>
      <c r="E2526" s="35"/>
      <c r="F2526" s="130"/>
      <c r="G2526" s="14"/>
      <c r="H2526" s="14"/>
      <c r="I2526" s="14"/>
      <c r="J2526" s="14"/>
      <c r="K2526" s="14"/>
      <c r="L2526" s="14"/>
      <c r="M2526" s="14"/>
    </row>
    <row r="2527" spans="2:13" s="7" customFormat="1" ht="13.5">
      <c r="B2527" s="30"/>
      <c r="C2527" s="30"/>
      <c r="D2527" s="31"/>
      <c r="E2527" s="35"/>
      <c r="F2527" s="130"/>
      <c r="G2527" s="14"/>
      <c r="H2527" s="14"/>
      <c r="I2527" s="14"/>
      <c r="J2527" s="14"/>
      <c r="K2527" s="14"/>
      <c r="L2527" s="14"/>
      <c r="M2527" s="14"/>
    </row>
    <row r="2528" spans="2:13" s="7" customFormat="1" ht="13.5">
      <c r="B2528" s="30"/>
      <c r="C2528" s="30"/>
      <c r="D2528" s="31"/>
      <c r="E2528" s="35"/>
      <c r="F2528" s="130"/>
      <c r="G2528" s="14"/>
      <c r="H2528" s="14"/>
      <c r="I2528" s="14"/>
      <c r="J2528" s="14"/>
      <c r="K2528" s="14"/>
      <c r="L2528" s="14"/>
      <c r="M2528" s="14"/>
    </row>
    <row r="2529" spans="2:13" s="7" customFormat="1" ht="13.5">
      <c r="B2529" s="30"/>
      <c r="C2529" s="30"/>
      <c r="D2529" s="31"/>
      <c r="E2529" s="35"/>
      <c r="F2529" s="130"/>
      <c r="G2529" s="14"/>
      <c r="H2529" s="14"/>
      <c r="I2529" s="14"/>
      <c r="J2529" s="14"/>
      <c r="K2529" s="14"/>
      <c r="L2529" s="14"/>
      <c r="M2529" s="14"/>
    </row>
    <row r="2530" spans="2:13" s="7" customFormat="1" ht="13.5">
      <c r="B2530" s="30"/>
      <c r="C2530" s="30"/>
      <c r="D2530" s="31"/>
      <c r="E2530" s="35"/>
      <c r="F2530" s="130"/>
      <c r="G2530" s="14"/>
      <c r="H2530" s="14"/>
      <c r="I2530" s="14"/>
      <c r="J2530" s="14"/>
      <c r="K2530" s="14"/>
      <c r="L2530" s="14"/>
      <c r="M2530" s="14"/>
    </row>
    <row r="2531" spans="2:13" s="7" customFormat="1" ht="13.5">
      <c r="B2531" s="30"/>
      <c r="C2531" s="30"/>
      <c r="D2531" s="31"/>
      <c r="E2531" s="35"/>
      <c r="F2531" s="130"/>
      <c r="G2531" s="14"/>
      <c r="H2531" s="14"/>
      <c r="I2531" s="14"/>
      <c r="J2531" s="14"/>
      <c r="K2531" s="14"/>
      <c r="L2531" s="14"/>
      <c r="M2531" s="14"/>
    </row>
    <row r="2532" spans="2:13" s="7" customFormat="1" ht="13.5">
      <c r="B2532" s="30"/>
      <c r="C2532" s="30"/>
      <c r="D2532" s="31"/>
      <c r="E2532" s="35"/>
      <c r="F2532" s="130"/>
      <c r="G2532" s="14"/>
      <c r="H2532" s="14"/>
      <c r="I2532" s="14"/>
      <c r="J2532" s="14"/>
      <c r="K2532" s="14"/>
      <c r="L2532" s="14"/>
      <c r="M2532" s="14"/>
    </row>
    <row r="2533" spans="2:13" s="7" customFormat="1" ht="13.5">
      <c r="B2533" s="30"/>
      <c r="C2533" s="30"/>
      <c r="D2533" s="31"/>
      <c r="E2533" s="35"/>
      <c r="F2533" s="130"/>
      <c r="G2533" s="14"/>
      <c r="H2533" s="14"/>
      <c r="I2533" s="14"/>
      <c r="J2533" s="14"/>
      <c r="K2533" s="14"/>
      <c r="L2533" s="14"/>
      <c r="M2533" s="14"/>
    </row>
    <row r="2534" spans="2:13" s="7" customFormat="1" ht="13.5">
      <c r="B2534" s="30"/>
      <c r="C2534" s="30"/>
      <c r="D2534" s="31"/>
      <c r="E2534" s="35"/>
      <c r="F2534" s="130"/>
      <c r="G2534" s="14"/>
      <c r="H2534" s="14"/>
      <c r="I2534" s="14"/>
      <c r="J2534" s="14"/>
      <c r="K2534" s="14"/>
      <c r="L2534" s="14"/>
      <c r="M2534" s="14"/>
    </row>
    <row r="2535" spans="2:13" s="7" customFormat="1" ht="13.5">
      <c r="B2535" s="30"/>
      <c r="C2535" s="30"/>
      <c r="D2535" s="31"/>
      <c r="E2535" s="35"/>
      <c r="F2535" s="130"/>
      <c r="G2535" s="14"/>
      <c r="H2535" s="14"/>
      <c r="I2535" s="14"/>
      <c r="J2535" s="14"/>
      <c r="K2535" s="14"/>
      <c r="L2535" s="14"/>
      <c r="M2535" s="14"/>
    </row>
    <row r="2536" spans="2:13" s="7" customFormat="1" ht="13.5">
      <c r="B2536" s="30"/>
      <c r="C2536" s="30"/>
      <c r="D2536" s="31"/>
      <c r="E2536" s="35"/>
      <c r="F2536" s="130"/>
      <c r="G2536" s="14"/>
      <c r="H2536" s="14"/>
      <c r="I2536" s="14"/>
      <c r="J2536" s="14"/>
      <c r="K2536" s="14"/>
      <c r="L2536" s="14"/>
      <c r="M2536" s="14"/>
    </row>
    <row r="2537" spans="2:13" s="7" customFormat="1" ht="13.5">
      <c r="B2537" s="30"/>
      <c r="C2537" s="30"/>
      <c r="D2537" s="31"/>
      <c r="E2537" s="35"/>
      <c r="F2537" s="130"/>
      <c r="G2537" s="14"/>
      <c r="H2537" s="14"/>
      <c r="I2537" s="14"/>
      <c r="J2537" s="14"/>
      <c r="K2537" s="14"/>
      <c r="L2537" s="14"/>
      <c r="M2537" s="14"/>
    </row>
    <row r="2538" spans="2:13" s="7" customFormat="1" ht="13.5">
      <c r="B2538" s="30"/>
      <c r="C2538" s="30"/>
      <c r="D2538" s="31"/>
      <c r="E2538" s="35"/>
      <c r="F2538" s="130"/>
      <c r="G2538" s="14"/>
      <c r="H2538" s="14"/>
      <c r="I2538" s="14"/>
      <c r="J2538" s="14"/>
      <c r="K2538" s="14"/>
      <c r="L2538" s="14"/>
      <c r="M2538" s="14"/>
    </row>
    <row r="2539" spans="2:13" s="7" customFormat="1" ht="13.5">
      <c r="B2539" s="30"/>
      <c r="C2539" s="30"/>
      <c r="D2539" s="31"/>
      <c r="E2539" s="35"/>
      <c r="F2539" s="130"/>
      <c r="G2539" s="14"/>
      <c r="H2539" s="14"/>
      <c r="I2539" s="14"/>
      <c r="J2539" s="14"/>
      <c r="K2539" s="14"/>
      <c r="L2539" s="14"/>
      <c r="M2539" s="14"/>
    </row>
    <row r="2540" spans="2:13" s="7" customFormat="1" ht="13.5">
      <c r="B2540" s="30"/>
      <c r="C2540" s="30"/>
      <c r="D2540" s="31"/>
      <c r="E2540" s="35"/>
      <c r="F2540" s="130"/>
      <c r="G2540" s="14"/>
      <c r="H2540" s="14"/>
      <c r="I2540" s="14"/>
      <c r="J2540" s="14"/>
      <c r="K2540" s="14"/>
      <c r="L2540" s="14"/>
      <c r="M2540" s="14"/>
    </row>
    <row r="2541" spans="2:13" s="7" customFormat="1" ht="13.5">
      <c r="B2541" s="30"/>
      <c r="C2541" s="30"/>
      <c r="D2541" s="31"/>
      <c r="E2541" s="35"/>
      <c r="F2541" s="130"/>
      <c r="G2541" s="14"/>
      <c r="H2541" s="14"/>
      <c r="I2541" s="14"/>
      <c r="J2541" s="14"/>
      <c r="K2541" s="14"/>
      <c r="L2541" s="14"/>
      <c r="M2541" s="14"/>
    </row>
    <row r="2542" spans="2:13" s="7" customFormat="1" ht="13.5">
      <c r="B2542" s="30"/>
      <c r="C2542" s="30"/>
      <c r="D2542" s="31"/>
      <c r="E2542" s="35"/>
      <c r="F2542" s="130"/>
      <c r="G2542" s="14"/>
      <c r="H2542" s="14"/>
      <c r="I2542" s="14"/>
      <c r="J2542" s="14"/>
      <c r="K2542" s="14"/>
      <c r="L2542" s="14"/>
      <c r="M2542" s="14"/>
    </row>
    <row r="2543" spans="2:13" s="7" customFormat="1" ht="13.5">
      <c r="B2543" s="30"/>
      <c r="C2543" s="30"/>
      <c r="D2543" s="31"/>
      <c r="E2543" s="35"/>
      <c r="F2543" s="130"/>
      <c r="G2543" s="14"/>
      <c r="H2543" s="14"/>
      <c r="I2543" s="14"/>
      <c r="J2543" s="14"/>
      <c r="K2543" s="14"/>
      <c r="L2543" s="14"/>
      <c r="M2543" s="14"/>
    </row>
    <row r="2544" spans="2:13" s="7" customFormat="1" ht="13.5">
      <c r="B2544" s="30"/>
      <c r="C2544" s="30"/>
      <c r="D2544" s="31"/>
      <c r="E2544" s="35"/>
      <c r="F2544" s="130"/>
      <c r="G2544" s="14"/>
      <c r="H2544" s="14"/>
      <c r="I2544" s="14"/>
      <c r="J2544" s="14"/>
      <c r="K2544" s="14"/>
      <c r="L2544" s="14"/>
      <c r="M2544" s="14"/>
    </row>
    <row r="2545" spans="2:13" s="7" customFormat="1" ht="13.5">
      <c r="B2545" s="30"/>
      <c r="C2545" s="30"/>
      <c r="D2545" s="31"/>
      <c r="E2545" s="35"/>
      <c r="F2545" s="130"/>
      <c r="G2545" s="14"/>
      <c r="H2545" s="14"/>
      <c r="I2545" s="14"/>
      <c r="J2545" s="14"/>
      <c r="K2545" s="14"/>
      <c r="L2545" s="14"/>
      <c r="M2545" s="14"/>
    </row>
    <row r="2546" spans="2:13" s="7" customFormat="1" ht="13.5">
      <c r="B2546" s="30"/>
      <c r="C2546" s="30"/>
      <c r="D2546" s="31"/>
      <c r="E2546" s="35"/>
      <c r="F2546" s="130"/>
      <c r="G2546" s="14"/>
      <c r="H2546" s="14"/>
      <c r="I2546" s="14"/>
      <c r="J2546" s="14"/>
      <c r="K2546" s="14"/>
      <c r="L2546" s="14"/>
      <c r="M2546" s="14"/>
    </row>
    <row r="2547" spans="2:13" s="7" customFormat="1" ht="13.5">
      <c r="B2547" s="30"/>
      <c r="C2547" s="30"/>
      <c r="D2547" s="31"/>
      <c r="E2547" s="35"/>
      <c r="F2547" s="130"/>
      <c r="G2547" s="14"/>
      <c r="H2547" s="14"/>
      <c r="I2547" s="14"/>
      <c r="J2547" s="14"/>
      <c r="K2547" s="14"/>
      <c r="L2547" s="14"/>
      <c r="M2547" s="14"/>
    </row>
    <row r="2548" spans="2:13" s="7" customFormat="1" ht="13.5">
      <c r="B2548" s="30"/>
      <c r="C2548" s="30"/>
      <c r="D2548" s="31"/>
      <c r="E2548" s="35"/>
      <c r="F2548" s="130"/>
      <c r="G2548" s="14"/>
      <c r="H2548" s="14"/>
      <c r="I2548" s="14"/>
      <c r="J2548" s="14"/>
      <c r="K2548" s="14"/>
      <c r="L2548" s="14"/>
      <c r="M2548" s="14"/>
    </row>
    <row r="2549" spans="2:13" s="7" customFormat="1" ht="13.5">
      <c r="B2549" s="30"/>
      <c r="C2549" s="30"/>
      <c r="D2549" s="31"/>
      <c r="E2549" s="35"/>
      <c r="F2549" s="130"/>
      <c r="G2549" s="14"/>
      <c r="H2549" s="14"/>
      <c r="I2549" s="14"/>
      <c r="J2549" s="14"/>
      <c r="K2549" s="14"/>
      <c r="L2549" s="14"/>
      <c r="M2549" s="14"/>
    </row>
    <row r="2550" spans="2:13" s="7" customFormat="1" ht="13.5">
      <c r="B2550" s="30"/>
      <c r="C2550" s="30"/>
      <c r="D2550" s="31"/>
      <c r="E2550" s="35"/>
      <c r="F2550" s="130"/>
      <c r="G2550" s="14"/>
      <c r="H2550" s="14"/>
      <c r="I2550" s="14"/>
      <c r="J2550" s="14"/>
      <c r="K2550" s="14"/>
      <c r="L2550" s="14"/>
      <c r="M2550" s="14"/>
    </row>
    <row r="2551" spans="2:13" s="7" customFormat="1" ht="13.5">
      <c r="B2551" s="30"/>
      <c r="C2551" s="30"/>
      <c r="D2551" s="31"/>
      <c r="E2551" s="35"/>
      <c r="F2551" s="130"/>
      <c r="G2551" s="14"/>
      <c r="H2551" s="14"/>
      <c r="I2551" s="14"/>
      <c r="J2551" s="14"/>
      <c r="K2551" s="14"/>
      <c r="L2551" s="14"/>
      <c r="M2551" s="14"/>
    </row>
    <row r="2552" spans="2:13" s="7" customFormat="1" ht="13.5">
      <c r="B2552" s="30"/>
      <c r="C2552" s="30"/>
      <c r="D2552" s="31"/>
      <c r="E2552" s="35"/>
      <c r="F2552" s="130"/>
      <c r="G2552" s="14"/>
      <c r="H2552" s="14"/>
      <c r="I2552" s="14"/>
      <c r="J2552" s="14"/>
      <c r="K2552" s="14"/>
      <c r="L2552" s="14"/>
      <c r="M2552" s="14"/>
    </row>
    <row r="2553" spans="2:13" s="7" customFormat="1" ht="13.5">
      <c r="B2553" s="30"/>
      <c r="C2553" s="30"/>
      <c r="D2553" s="31"/>
      <c r="E2553" s="35"/>
      <c r="F2553" s="130"/>
      <c r="G2553" s="14"/>
      <c r="H2553" s="14"/>
      <c r="I2553" s="14"/>
      <c r="J2553" s="14"/>
      <c r="K2553" s="14"/>
      <c r="L2553" s="14"/>
      <c r="M2553" s="14"/>
    </row>
    <row r="2554" spans="2:13" s="7" customFormat="1" ht="13.5">
      <c r="B2554" s="30"/>
      <c r="C2554" s="30"/>
      <c r="D2554" s="31"/>
      <c r="E2554" s="35"/>
      <c r="F2554" s="130"/>
      <c r="G2554" s="14"/>
      <c r="H2554" s="14"/>
      <c r="I2554" s="14"/>
      <c r="J2554" s="14"/>
      <c r="K2554" s="14"/>
      <c r="L2554" s="14"/>
      <c r="M2554" s="14"/>
    </row>
    <row r="2555" spans="2:13" s="7" customFormat="1" ht="13.5">
      <c r="B2555" s="30"/>
      <c r="C2555" s="30"/>
      <c r="D2555" s="31"/>
      <c r="E2555" s="35"/>
      <c r="F2555" s="130"/>
      <c r="G2555" s="14"/>
      <c r="H2555" s="14"/>
      <c r="I2555" s="14"/>
      <c r="J2555" s="14"/>
      <c r="K2555" s="14"/>
      <c r="L2555" s="14"/>
      <c r="M2555" s="14"/>
    </row>
    <row r="2556" spans="2:13" s="7" customFormat="1" ht="13.5">
      <c r="B2556" s="30"/>
      <c r="C2556" s="30"/>
      <c r="D2556" s="31"/>
      <c r="E2556" s="35"/>
      <c r="F2556" s="130"/>
      <c r="G2556" s="14"/>
      <c r="H2556" s="14"/>
      <c r="I2556" s="14"/>
      <c r="J2556" s="14"/>
      <c r="K2556" s="14"/>
      <c r="L2556" s="14"/>
      <c r="M2556" s="14"/>
    </row>
    <row r="2557" spans="2:13" s="7" customFormat="1" ht="13.5">
      <c r="B2557" s="30"/>
      <c r="C2557" s="30"/>
      <c r="D2557" s="31"/>
      <c r="E2557" s="35"/>
      <c r="F2557" s="130"/>
      <c r="G2557" s="14"/>
      <c r="H2557" s="14"/>
      <c r="I2557" s="14"/>
      <c r="J2557" s="14"/>
      <c r="K2557" s="14"/>
      <c r="L2557" s="14"/>
      <c r="M2557" s="14"/>
    </row>
    <row r="2558" spans="2:13" s="7" customFormat="1" ht="13.5">
      <c r="B2558" s="30"/>
      <c r="C2558" s="30"/>
      <c r="D2558" s="31"/>
      <c r="E2558" s="35"/>
      <c r="F2558" s="130"/>
      <c r="G2558" s="14"/>
      <c r="H2558" s="14"/>
      <c r="I2558" s="14"/>
      <c r="J2558" s="14"/>
      <c r="K2558" s="14"/>
      <c r="L2558" s="14"/>
      <c r="M2558" s="14"/>
    </row>
    <row r="2559" spans="2:13" s="7" customFormat="1" ht="13.5">
      <c r="B2559" s="30"/>
      <c r="C2559" s="30"/>
      <c r="D2559" s="31"/>
      <c r="E2559" s="35"/>
      <c r="F2559" s="130"/>
      <c r="G2559" s="14"/>
      <c r="H2559" s="14"/>
      <c r="I2559" s="14"/>
      <c r="J2559" s="14"/>
      <c r="K2559" s="14"/>
      <c r="L2559" s="14"/>
      <c r="M2559" s="14"/>
    </row>
    <row r="2560" spans="2:13" s="7" customFormat="1" ht="13.5">
      <c r="B2560" s="30"/>
      <c r="C2560" s="30"/>
      <c r="D2560" s="31"/>
      <c r="E2560" s="35"/>
      <c r="F2560" s="130"/>
      <c r="G2560" s="14"/>
      <c r="H2560" s="14"/>
      <c r="I2560" s="14"/>
      <c r="J2560" s="14"/>
      <c r="K2560" s="14"/>
      <c r="L2560" s="14"/>
      <c r="M2560" s="14"/>
    </row>
    <row r="2561" spans="2:13" s="7" customFormat="1" ht="13.5">
      <c r="B2561" s="30"/>
      <c r="C2561" s="30"/>
      <c r="D2561" s="31"/>
      <c r="E2561" s="35"/>
      <c r="F2561" s="130"/>
      <c r="G2561" s="14"/>
      <c r="H2561" s="14"/>
      <c r="I2561" s="14"/>
      <c r="J2561" s="14"/>
      <c r="K2561" s="14"/>
      <c r="L2561" s="14"/>
      <c r="M2561" s="14"/>
    </row>
    <row r="2562" spans="2:13" s="7" customFormat="1" ht="13.5">
      <c r="B2562" s="30"/>
      <c r="C2562" s="30"/>
      <c r="D2562" s="31"/>
      <c r="E2562" s="35"/>
      <c r="F2562" s="130"/>
      <c r="G2562" s="14"/>
      <c r="H2562" s="14"/>
      <c r="I2562" s="14"/>
      <c r="J2562" s="14"/>
      <c r="K2562" s="14"/>
      <c r="L2562" s="14"/>
      <c r="M2562" s="14"/>
    </row>
    <row r="2563" spans="2:13" s="7" customFormat="1" ht="13.5">
      <c r="B2563" s="30"/>
      <c r="C2563" s="30"/>
      <c r="D2563" s="31"/>
      <c r="E2563" s="35"/>
      <c r="F2563" s="130"/>
      <c r="G2563" s="14"/>
      <c r="H2563" s="14"/>
      <c r="I2563" s="14"/>
      <c r="J2563" s="14"/>
      <c r="K2563" s="14"/>
      <c r="L2563" s="14"/>
      <c r="M2563" s="14"/>
    </row>
    <row r="2564" spans="2:13" s="7" customFormat="1" ht="13.5">
      <c r="B2564" s="30"/>
      <c r="C2564" s="30"/>
      <c r="D2564" s="31"/>
      <c r="E2564" s="35"/>
      <c r="F2564" s="130"/>
      <c r="G2564" s="14"/>
      <c r="H2564" s="14"/>
      <c r="I2564" s="14"/>
      <c r="J2564" s="14"/>
      <c r="K2564" s="14"/>
      <c r="L2564" s="14"/>
      <c r="M2564" s="14"/>
    </row>
    <row r="2565" spans="2:13" s="7" customFormat="1" ht="13.5">
      <c r="B2565" s="30"/>
      <c r="C2565" s="30"/>
      <c r="D2565" s="31"/>
      <c r="E2565" s="35"/>
      <c r="F2565" s="130"/>
      <c r="G2565" s="14"/>
      <c r="H2565" s="14"/>
      <c r="I2565" s="14"/>
      <c r="J2565" s="14"/>
      <c r="K2565" s="14"/>
      <c r="L2565" s="14"/>
      <c r="M2565" s="14"/>
    </row>
    <row r="2566" spans="2:13" s="7" customFormat="1" ht="13.5">
      <c r="B2566" s="30"/>
      <c r="C2566" s="30"/>
      <c r="D2566" s="31"/>
      <c r="E2566" s="35"/>
      <c r="F2566" s="130"/>
      <c r="G2566" s="14"/>
      <c r="H2566" s="14"/>
      <c r="I2566" s="14"/>
      <c r="J2566" s="14"/>
      <c r="K2566" s="14"/>
      <c r="L2566" s="14"/>
      <c r="M2566" s="14"/>
    </row>
    <row r="2567" spans="2:13" s="7" customFormat="1" ht="13.5">
      <c r="B2567" s="30"/>
      <c r="C2567" s="30"/>
      <c r="D2567" s="31"/>
      <c r="E2567" s="35"/>
      <c r="F2567" s="130"/>
      <c r="G2567" s="14"/>
      <c r="H2567" s="14"/>
      <c r="I2567" s="14"/>
      <c r="J2567" s="14"/>
      <c r="K2567" s="14"/>
      <c r="L2567" s="14"/>
      <c r="M2567" s="14"/>
    </row>
    <row r="2568" spans="2:13" s="7" customFormat="1" ht="13.5">
      <c r="B2568" s="30"/>
      <c r="C2568" s="30"/>
      <c r="D2568" s="31"/>
      <c r="E2568" s="35"/>
      <c r="F2568" s="130"/>
      <c r="G2568" s="14"/>
      <c r="H2568" s="14"/>
      <c r="I2568" s="14"/>
      <c r="J2568" s="14"/>
      <c r="K2568" s="14"/>
      <c r="L2568" s="14"/>
      <c r="M2568" s="14"/>
    </row>
    <row r="2569" spans="2:13" s="7" customFormat="1" ht="13.5">
      <c r="B2569" s="30"/>
      <c r="C2569" s="30"/>
      <c r="D2569" s="31"/>
      <c r="E2569" s="35"/>
      <c r="F2569" s="130"/>
      <c r="G2569" s="14"/>
      <c r="H2569" s="14"/>
      <c r="I2569" s="14"/>
      <c r="J2569" s="14"/>
      <c r="K2569" s="14"/>
      <c r="L2569" s="14"/>
      <c r="M2569" s="14"/>
    </row>
    <row r="2570" spans="2:13" s="7" customFormat="1" ht="13.5">
      <c r="B2570" s="30"/>
      <c r="C2570" s="30"/>
      <c r="D2570" s="31"/>
      <c r="E2570" s="35"/>
      <c r="F2570" s="130"/>
      <c r="G2570" s="14"/>
      <c r="H2570" s="14"/>
      <c r="I2570" s="14"/>
      <c r="J2570" s="14"/>
      <c r="K2570" s="14"/>
      <c r="L2570" s="14"/>
      <c r="M2570" s="14"/>
    </row>
    <row r="2571" spans="2:13" s="7" customFormat="1" ht="13.5">
      <c r="B2571" s="30"/>
      <c r="C2571" s="30"/>
      <c r="D2571" s="31"/>
      <c r="E2571" s="35"/>
      <c r="F2571" s="130"/>
      <c r="G2571" s="14"/>
      <c r="H2571" s="14"/>
      <c r="I2571" s="14"/>
      <c r="J2571" s="14"/>
      <c r="K2571" s="14"/>
      <c r="L2571" s="14"/>
      <c r="M2571" s="14"/>
    </row>
    <row r="2572" spans="2:13" s="7" customFormat="1" ht="13.5">
      <c r="B2572" s="30"/>
      <c r="C2572" s="30"/>
      <c r="D2572" s="31"/>
      <c r="E2572" s="35"/>
      <c r="F2572" s="130"/>
      <c r="G2572" s="14"/>
      <c r="H2572" s="14"/>
      <c r="I2572" s="14"/>
      <c r="J2572" s="14"/>
      <c r="K2572" s="14"/>
      <c r="L2572" s="14"/>
      <c r="M2572" s="14"/>
    </row>
    <row r="2573" spans="2:13" s="7" customFormat="1" ht="13.5">
      <c r="B2573" s="30"/>
      <c r="C2573" s="30"/>
      <c r="D2573" s="31"/>
      <c r="E2573" s="35"/>
      <c r="F2573" s="130"/>
      <c r="G2573" s="14"/>
      <c r="H2573" s="14"/>
      <c r="I2573" s="14"/>
      <c r="J2573" s="14"/>
      <c r="K2573" s="14"/>
      <c r="L2573" s="14"/>
      <c r="M2573" s="14"/>
    </row>
    <row r="2574" spans="2:13" s="7" customFormat="1" ht="13.5">
      <c r="B2574" s="30"/>
      <c r="C2574" s="30"/>
      <c r="D2574" s="31"/>
      <c r="E2574" s="35"/>
      <c r="F2574" s="130"/>
      <c r="G2574" s="14"/>
      <c r="H2574" s="14"/>
      <c r="I2574" s="14"/>
      <c r="J2574" s="14"/>
      <c r="K2574" s="14"/>
      <c r="L2574" s="14"/>
      <c r="M2574" s="14"/>
    </row>
    <row r="2575" spans="2:13" s="7" customFormat="1" ht="13.5">
      <c r="B2575" s="30"/>
      <c r="C2575" s="30"/>
      <c r="D2575" s="31"/>
      <c r="E2575" s="35"/>
      <c r="F2575" s="130"/>
      <c r="G2575" s="14"/>
      <c r="H2575" s="14"/>
      <c r="I2575" s="14"/>
      <c r="J2575" s="14"/>
      <c r="K2575" s="14"/>
      <c r="L2575" s="14"/>
      <c r="M2575" s="14"/>
    </row>
    <row r="2576" spans="2:13" s="7" customFormat="1" ht="13.5">
      <c r="B2576" s="30"/>
      <c r="C2576" s="30"/>
      <c r="D2576" s="31"/>
      <c r="E2576" s="35"/>
      <c r="F2576" s="130"/>
      <c r="G2576" s="14"/>
      <c r="H2576" s="14"/>
      <c r="I2576" s="14"/>
      <c r="J2576" s="14"/>
      <c r="K2576" s="14"/>
      <c r="L2576" s="14"/>
      <c r="M2576" s="14"/>
    </row>
    <row r="2577" spans="2:13" s="7" customFormat="1" ht="13.5">
      <c r="B2577" s="30"/>
      <c r="C2577" s="30"/>
      <c r="D2577" s="31"/>
      <c r="E2577" s="35"/>
      <c r="F2577" s="130"/>
      <c r="G2577" s="14"/>
      <c r="H2577" s="14"/>
      <c r="I2577" s="14"/>
      <c r="J2577" s="14"/>
      <c r="K2577" s="14"/>
      <c r="L2577" s="14"/>
      <c r="M2577" s="14"/>
    </row>
    <row r="2578" spans="2:13" s="7" customFormat="1" ht="13.5">
      <c r="B2578" s="30"/>
      <c r="C2578" s="30"/>
      <c r="D2578" s="31"/>
      <c r="E2578" s="35"/>
      <c r="F2578" s="130"/>
      <c r="G2578" s="14"/>
      <c r="H2578" s="14"/>
      <c r="I2578" s="14"/>
      <c r="J2578" s="14"/>
      <c r="K2578" s="14"/>
      <c r="L2578" s="14"/>
      <c r="M2578" s="14"/>
    </row>
    <row r="2579" spans="2:13" s="7" customFormat="1" ht="13.5">
      <c r="B2579" s="30"/>
      <c r="C2579" s="30"/>
      <c r="D2579" s="31"/>
      <c r="E2579" s="35"/>
      <c r="F2579" s="130"/>
      <c r="G2579" s="14"/>
      <c r="H2579" s="14"/>
      <c r="I2579" s="14"/>
      <c r="J2579" s="14"/>
      <c r="K2579" s="14"/>
      <c r="L2579" s="14"/>
      <c r="M2579" s="14"/>
    </row>
    <row r="2580" spans="2:13" s="7" customFormat="1" ht="13.5">
      <c r="B2580" s="30"/>
      <c r="C2580" s="30"/>
      <c r="D2580" s="31"/>
      <c r="E2580" s="35"/>
      <c r="F2580" s="130"/>
      <c r="G2580" s="14"/>
      <c r="H2580" s="14"/>
      <c r="I2580" s="14"/>
      <c r="J2580" s="14"/>
      <c r="K2580" s="14"/>
      <c r="L2580" s="14"/>
      <c r="M2580" s="14"/>
    </row>
    <row r="2581" spans="2:13" s="7" customFormat="1" ht="13.5">
      <c r="B2581" s="30"/>
      <c r="C2581" s="30"/>
      <c r="D2581" s="31"/>
      <c r="E2581" s="35"/>
      <c r="F2581" s="130"/>
      <c r="G2581" s="14"/>
      <c r="H2581" s="14"/>
      <c r="I2581" s="14"/>
      <c r="J2581" s="14"/>
      <c r="K2581" s="14"/>
      <c r="L2581" s="14"/>
      <c r="M2581" s="14"/>
    </row>
    <row r="2582" spans="2:13" s="7" customFormat="1" ht="13.5">
      <c r="B2582" s="30"/>
      <c r="C2582" s="30"/>
      <c r="D2582" s="31"/>
      <c r="E2582" s="35"/>
      <c r="F2582" s="130"/>
      <c r="G2582" s="14"/>
      <c r="H2582" s="14"/>
      <c r="I2582" s="14"/>
      <c r="J2582" s="14"/>
      <c r="K2582" s="14"/>
      <c r="L2582" s="14"/>
      <c r="M2582" s="14"/>
    </row>
    <row r="2583" spans="2:13" s="7" customFormat="1" ht="13.5">
      <c r="B2583" s="30"/>
      <c r="C2583" s="30"/>
      <c r="D2583" s="31"/>
      <c r="E2583" s="35"/>
      <c r="F2583" s="130"/>
      <c r="G2583" s="14"/>
      <c r="H2583" s="14"/>
      <c r="I2583" s="14"/>
      <c r="J2583" s="14"/>
      <c r="K2583" s="14"/>
      <c r="L2583" s="14"/>
      <c r="M2583" s="14"/>
    </row>
    <row r="2584" spans="2:13" s="7" customFormat="1" ht="13.5">
      <c r="B2584" s="30"/>
      <c r="C2584" s="30"/>
      <c r="D2584" s="31"/>
      <c r="E2584" s="35"/>
      <c r="F2584" s="130"/>
      <c r="G2584" s="14"/>
      <c r="H2584" s="14"/>
      <c r="I2584" s="14"/>
      <c r="J2584" s="14"/>
      <c r="K2584" s="14"/>
      <c r="L2584" s="14"/>
      <c r="M2584" s="14"/>
    </row>
    <row r="2585" spans="2:13" s="7" customFormat="1" ht="13.5">
      <c r="B2585" s="30"/>
      <c r="C2585" s="30"/>
      <c r="D2585" s="31"/>
      <c r="E2585" s="35"/>
      <c r="F2585" s="130"/>
      <c r="G2585" s="14"/>
      <c r="H2585" s="14"/>
      <c r="I2585" s="14"/>
      <c r="J2585" s="14"/>
      <c r="K2585" s="14"/>
      <c r="L2585" s="14"/>
      <c r="M2585" s="14"/>
    </row>
    <row r="2586" spans="2:13" s="7" customFormat="1" ht="13.5">
      <c r="B2586" s="30"/>
      <c r="C2586" s="30"/>
      <c r="D2586" s="31"/>
      <c r="E2586" s="35"/>
      <c r="F2586" s="130"/>
      <c r="G2586" s="14"/>
      <c r="H2586" s="14"/>
      <c r="I2586" s="14"/>
      <c r="J2586" s="14"/>
      <c r="K2586" s="14"/>
      <c r="L2586" s="14"/>
      <c r="M2586" s="14"/>
    </row>
    <row r="2587" spans="2:13" s="7" customFormat="1" ht="13.5">
      <c r="B2587" s="30"/>
      <c r="C2587" s="30"/>
      <c r="D2587" s="31"/>
      <c r="E2587" s="35"/>
      <c r="F2587" s="130"/>
      <c r="G2587" s="14"/>
      <c r="H2587" s="14"/>
      <c r="I2587" s="14"/>
      <c r="J2587" s="14"/>
      <c r="K2587" s="14"/>
      <c r="L2587" s="14"/>
      <c r="M2587" s="14"/>
    </row>
    <row r="2588" spans="2:13" s="7" customFormat="1" ht="13.5">
      <c r="B2588" s="30"/>
      <c r="C2588" s="30"/>
      <c r="D2588" s="31"/>
      <c r="E2588" s="35"/>
      <c r="F2588" s="130"/>
      <c r="G2588" s="14"/>
      <c r="H2588" s="14"/>
      <c r="I2588" s="14"/>
      <c r="J2588" s="14"/>
      <c r="K2588" s="14"/>
      <c r="L2588" s="14"/>
      <c r="M2588" s="14"/>
    </row>
    <row r="2589" spans="2:13" s="7" customFormat="1" ht="13.5">
      <c r="B2589" s="30"/>
      <c r="C2589" s="30"/>
      <c r="D2589" s="31"/>
      <c r="E2589" s="35"/>
      <c r="F2589" s="130"/>
      <c r="G2589" s="14"/>
      <c r="H2589" s="14"/>
      <c r="I2589" s="14"/>
      <c r="J2589" s="14"/>
      <c r="K2589" s="14"/>
      <c r="L2589" s="14"/>
      <c r="M2589" s="14"/>
    </row>
    <row r="2590" spans="2:13" s="7" customFormat="1" ht="13.5">
      <c r="B2590" s="30"/>
      <c r="C2590" s="30"/>
      <c r="D2590" s="31"/>
      <c r="E2590" s="35"/>
      <c r="F2590" s="130"/>
      <c r="G2590" s="14"/>
      <c r="H2590" s="14"/>
      <c r="I2590" s="14"/>
      <c r="J2590" s="14"/>
      <c r="K2590" s="14"/>
      <c r="L2590" s="14"/>
      <c r="M2590" s="14"/>
    </row>
    <row r="2591" spans="2:13" s="7" customFormat="1" ht="13.5">
      <c r="B2591" s="30"/>
      <c r="C2591" s="30"/>
      <c r="D2591" s="31"/>
      <c r="E2591" s="35"/>
      <c r="F2591" s="130"/>
      <c r="G2591" s="14"/>
      <c r="H2591" s="14"/>
      <c r="I2591" s="14"/>
      <c r="J2591" s="14"/>
      <c r="K2591" s="14"/>
      <c r="L2591" s="14"/>
      <c r="M2591" s="14"/>
    </row>
    <row r="2592" spans="2:13" s="7" customFormat="1" ht="13.5">
      <c r="B2592" s="30"/>
      <c r="C2592" s="30"/>
      <c r="D2592" s="31"/>
      <c r="E2592" s="35"/>
      <c r="F2592" s="130"/>
      <c r="G2592" s="14"/>
      <c r="H2592" s="14"/>
      <c r="I2592" s="14"/>
      <c r="J2592" s="14"/>
      <c r="K2592" s="14"/>
      <c r="L2592" s="14"/>
      <c r="M2592" s="14"/>
    </row>
    <row r="2593" spans="2:13" s="7" customFormat="1" ht="13.5">
      <c r="B2593" s="30"/>
      <c r="C2593" s="30"/>
      <c r="D2593" s="31"/>
      <c r="E2593" s="35"/>
      <c r="F2593" s="130"/>
      <c r="G2593" s="14"/>
      <c r="H2593" s="14"/>
      <c r="I2593" s="14"/>
      <c r="J2593" s="14"/>
      <c r="K2593" s="14"/>
      <c r="L2593" s="14"/>
      <c r="M2593" s="14"/>
    </row>
    <row r="2594" spans="2:13" s="7" customFormat="1" ht="13.5">
      <c r="B2594" s="30"/>
      <c r="C2594" s="30"/>
      <c r="D2594" s="31"/>
      <c r="E2594" s="35"/>
      <c r="F2594" s="130"/>
      <c r="G2594" s="14"/>
      <c r="H2594" s="14"/>
      <c r="I2594" s="14"/>
      <c r="J2594" s="14"/>
      <c r="K2594" s="14"/>
      <c r="L2594" s="14"/>
      <c r="M2594" s="14"/>
    </row>
    <row r="2595" spans="2:13" s="7" customFormat="1" ht="13.5">
      <c r="B2595" s="30"/>
      <c r="C2595" s="30"/>
      <c r="D2595" s="31"/>
      <c r="E2595" s="35"/>
      <c r="F2595" s="130"/>
      <c r="G2595" s="14"/>
      <c r="H2595" s="14"/>
      <c r="I2595" s="14"/>
      <c r="J2595" s="14"/>
      <c r="K2595" s="14"/>
      <c r="L2595" s="14"/>
      <c r="M2595" s="14"/>
    </row>
    <row r="2596" spans="2:13" s="7" customFormat="1" ht="13.5">
      <c r="B2596" s="30"/>
      <c r="C2596" s="30"/>
      <c r="D2596" s="31"/>
      <c r="E2596" s="35"/>
      <c r="F2596" s="130"/>
      <c r="G2596" s="14"/>
      <c r="H2596" s="14"/>
      <c r="I2596" s="14"/>
      <c r="J2596" s="14"/>
      <c r="K2596" s="14"/>
      <c r="L2596" s="14"/>
      <c r="M2596" s="14"/>
    </row>
    <row r="2597" spans="2:13" s="7" customFormat="1" ht="13.5">
      <c r="B2597" s="30"/>
      <c r="C2597" s="30"/>
      <c r="D2597" s="31"/>
      <c r="E2597" s="35"/>
      <c r="F2597" s="130"/>
      <c r="G2597" s="14"/>
      <c r="H2597" s="14"/>
      <c r="I2597" s="14"/>
      <c r="J2597" s="14"/>
      <c r="K2597" s="14"/>
      <c r="L2597" s="14"/>
      <c r="M2597" s="14"/>
    </row>
    <row r="2598" spans="2:13" s="7" customFormat="1" ht="13.5">
      <c r="B2598" s="30"/>
      <c r="C2598" s="30"/>
      <c r="D2598" s="31"/>
      <c r="E2598" s="35"/>
      <c r="F2598" s="130"/>
      <c r="G2598" s="14"/>
      <c r="H2598" s="14"/>
      <c r="I2598" s="14"/>
      <c r="J2598" s="14"/>
      <c r="K2598" s="14"/>
      <c r="L2598" s="14"/>
      <c r="M2598" s="14"/>
    </row>
    <row r="2599" spans="2:13" s="7" customFormat="1" ht="13.5">
      <c r="B2599" s="30"/>
      <c r="C2599" s="30"/>
      <c r="D2599" s="31"/>
      <c r="E2599" s="35"/>
      <c r="F2599" s="130"/>
      <c r="G2599" s="14"/>
      <c r="H2599" s="14"/>
      <c r="I2599" s="14"/>
      <c r="J2599" s="14"/>
      <c r="K2599" s="14"/>
      <c r="L2599" s="14"/>
      <c r="M2599" s="14"/>
    </row>
    <row r="2600" spans="2:13" s="7" customFormat="1" ht="13.5">
      <c r="B2600" s="30"/>
      <c r="C2600" s="30"/>
      <c r="D2600" s="31"/>
      <c r="E2600" s="35"/>
      <c r="F2600" s="130"/>
      <c r="G2600" s="14"/>
      <c r="H2600" s="14"/>
      <c r="I2600" s="14"/>
      <c r="J2600" s="14"/>
      <c r="K2600" s="14"/>
      <c r="L2600" s="14"/>
      <c r="M2600" s="14"/>
    </row>
    <row r="2601" spans="2:13" s="7" customFormat="1" ht="13.5">
      <c r="B2601" s="30"/>
      <c r="C2601" s="30"/>
      <c r="D2601" s="31"/>
      <c r="E2601" s="35"/>
      <c r="F2601" s="130"/>
      <c r="G2601" s="14"/>
      <c r="H2601" s="14"/>
      <c r="I2601" s="14"/>
      <c r="J2601" s="14"/>
      <c r="K2601" s="14"/>
      <c r="L2601" s="14"/>
      <c r="M2601" s="14"/>
    </row>
    <row r="2602" spans="2:13" s="7" customFormat="1" ht="13.5">
      <c r="B2602" s="30"/>
      <c r="C2602" s="30"/>
      <c r="D2602" s="31"/>
      <c r="E2602" s="35"/>
      <c r="F2602" s="130"/>
      <c r="G2602" s="14"/>
      <c r="H2602" s="14"/>
      <c r="I2602" s="14"/>
      <c r="J2602" s="14"/>
      <c r="K2602" s="14"/>
      <c r="L2602" s="14"/>
      <c r="M2602" s="14"/>
    </row>
    <row r="2603" spans="2:13" s="7" customFormat="1" ht="13.5">
      <c r="B2603" s="30"/>
      <c r="C2603" s="30"/>
      <c r="D2603" s="31"/>
      <c r="E2603" s="35"/>
      <c r="F2603" s="130"/>
      <c r="G2603" s="14"/>
      <c r="H2603" s="14"/>
      <c r="I2603" s="14"/>
      <c r="J2603" s="14"/>
      <c r="K2603" s="14"/>
      <c r="L2603" s="14"/>
      <c r="M2603" s="14"/>
    </row>
    <row r="2604" spans="2:13" s="7" customFormat="1" ht="13.5">
      <c r="B2604" s="30"/>
      <c r="C2604" s="30"/>
      <c r="D2604" s="31"/>
      <c r="E2604" s="35"/>
      <c r="F2604" s="130"/>
      <c r="G2604" s="14"/>
      <c r="H2604" s="14"/>
      <c r="I2604" s="14"/>
      <c r="J2604" s="14"/>
      <c r="K2604" s="14"/>
      <c r="L2604" s="14"/>
      <c r="M2604" s="14"/>
    </row>
    <row r="2605" spans="2:13" s="7" customFormat="1" ht="13.5">
      <c r="B2605" s="30"/>
      <c r="C2605" s="30"/>
      <c r="D2605" s="31"/>
      <c r="E2605" s="35"/>
      <c r="F2605" s="130"/>
      <c r="G2605" s="14"/>
      <c r="H2605" s="14"/>
      <c r="I2605" s="14"/>
      <c r="J2605" s="14"/>
      <c r="K2605" s="14"/>
      <c r="L2605" s="14"/>
      <c r="M2605" s="14"/>
    </row>
    <row r="2606" spans="2:13" s="7" customFormat="1" ht="13.5">
      <c r="B2606" s="30"/>
      <c r="C2606" s="30"/>
      <c r="D2606" s="31"/>
      <c r="E2606" s="35"/>
      <c r="F2606" s="130"/>
      <c r="G2606" s="14"/>
      <c r="H2606" s="14"/>
      <c r="I2606" s="14"/>
      <c r="J2606" s="14"/>
      <c r="K2606" s="14"/>
      <c r="L2606" s="14"/>
      <c r="M2606" s="14"/>
    </row>
    <row r="2607" spans="2:13" s="7" customFormat="1" ht="13.5">
      <c r="B2607" s="30"/>
      <c r="C2607" s="30"/>
      <c r="D2607" s="31"/>
      <c r="E2607" s="35"/>
      <c r="F2607" s="130"/>
      <c r="G2607" s="14"/>
      <c r="H2607" s="14"/>
      <c r="I2607" s="14"/>
      <c r="J2607" s="14"/>
      <c r="K2607" s="14"/>
      <c r="L2607" s="14"/>
      <c r="M2607" s="14"/>
    </row>
    <row r="2608" spans="2:13" s="7" customFormat="1" ht="13.5">
      <c r="B2608" s="30"/>
      <c r="C2608" s="30"/>
      <c r="D2608" s="31"/>
      <c r="E2608" s="35"/>
      <c r="F2608" s="130"/>
      <c r="G2608" s="14"/>
      <c r="H2608" s="14"/>
      <c r="I2608" s="14"/>
      <c r="J2608" s="14"/>
      <c r="K2608" s="14"/>
      <c r="L2608" s="14"/>
      <c r="M2608" s="14"/>
    </row>
    <row r="2609" spans="2:13" s="7" customFormat="1" ht="13.5">
      <c r="B2609" s="30"/>
      <c r="C2609" s="30"/>
      <c r="D2609" s="31"/>
      <c r="E2609" s="35"/>
      <c r="F2609" s="130"/>
      <c r="G2609" s="14"/>
      <c r="H2609" s="14"/>
      <c r="I2609" s="14"/>
      <c r="J2609" s="14"/>
      <c r="K2609" s="14"/>
      <c r="L2609" s="14"/>
      <c r="M2609" s="14"/>
    </row>
    <row r="2610" spans="2:13" s="7" customFormat="1" ht="13.5">
      <c r="B2610" s="30"/>
      <c r="C2610" s="30"/>
      <c r="D2610" s="31"/>
      <c r="E2610" s="35"/>
      <c r="F2610" s="130"/>
      <c r="G2610" s="14"/>
      <c r="H2610" s="14"/>
      <c r="I2610" s="14"/>
      <c r="J2610" s="14"/>
      <c r="K2610" s="14"/>
      <c r="L2610" s="14"/>
      <c r="M2610" s="14"/>
    </row>
    <row r="2611" spans="2:13" s="7" customFormat="1" ht="13.5">
      <c r="B2611" s="30"/>
      <c r="C2611" s="30"/>
      <c r="D2611" s="31"/>
      <c r="E2611" s="35"/>
      <c r="F2611" s="130"/>
      <c r="G2611" s="14"/>
      <c r="H2611" s="14"/>
      <c r="I2611" s="14"/>
      <c r="J2611" s="14"/>
      <c r="K2611" s="14"/>
      <c r="L2611" s="14"/>
      <c r="M2611" s="14"/>
    </row>
    <row r="2612" spans="2:13" s="7" customFormat="1" ht="13.5">
      <c r="B2612" s="30"/>
      <c r="C2612" s="30"/>
      <c r="D2612" s="31"/>
      <c r="E2612" s="35"/>
      <c r="F2612" s="130"/>
      <c r="G2612" s="14"/>
      <c r="H2612" s="14"/>
      <c r="I2612" s="14"/>
      <c r="J2612" s="14"/>
      <c r="K2612" s="14"/>
      <c r="L2612" s="14"/>
      <c r="M2612" s="14"/>
    </row>
    <row r="2613" spans="2:13" s="7" customFormat="1" ht="13.5">
      <c r="B2613" s="30"/>
      <c r="C2613" s="30"/>
      <c r="D2613" s="31"/>
      <c r="E2613" s="35"/>
      <c r="F2613" s="130"/>
      <c r="G2613" s="14"/>
      <c r="H2613" s="14"/>
      <c r="I2613" s="14"/>
      <c r="J2613" s="14"/>
      <c r="K2613" s="14"/>
      <c r="L2613" s="14"/>
      <c r="M2613" s="14"/>
    </row>
    <row r="2614" spans="2:13" s="7" customFormat="1" ht="13.5">
      <c r="B2614" s="30"/>
      <c r="C2614" s="30"/>
      <c r="D2614" s="31"/>
      <c r="E2614" s="35"/>
      <c r="F2614" s="130"/>
      <c r="G2614" s="14"/>
      <c r="H2614" s="14"/>
      <c r="I2614" s="14"/>
      <c r="J2614" s="14"/>
      <c r="K2614" s="14"/>
      <c r="L2614" s="14"/>
      <c r="M2614" s="14"/>
    </row>
    <row r="2615" spans="2:13" s="7" customFormat="1" ht="13.5">
      <c r="B2615" s="30"/>
      <c r="C2615" s="30"/>
      <c r="D2615" s="31"/>
      <c r="E2615" s="35"/>
      <c r="F2615" s="130"/>
      <c r="G2615" s="14"/>
      <c r="H2615" s="14"/>
      <c r="I2615" s="14"/>
      <c r="J2615" s="14"/>
      <c r="K2615" s="14"/>
      <c r="L2615" s="14"/>
      <c r="M2615" s="14"/>
    </row>
    <row r="2616" spans="2:13" s="7" customFormat="1" ht="13.5">
      <c r="B2616" s="30"/>
      <c r="C2616" s="30"/>
      <c r="D2616" s="31"/>
      <c r="E2616" s="35"/>
      <c r="F2616" s="130"/>
      <c r="G2616" s="14"/>
      <c r="H2616" s="14"/>
      <c r="I2616" s="14"/>
      <c r="J2616" s="14"/>
      <c r="K2616" s="14"/>
      <c r="L2616" s="14"/>
      <c r="M2616" s="14"/>
    </row>
    <row r="2617" spans="2:13" s="7" customFormat="1" ht="13.5">
      <c r="B2617" s="30"/>
      <c r="C2617" s="30"/>
      <c r="D2617" s="31"/>
      <c r="E2617" s="35"/>
      <c r="F2617" s="130"/>
      <c r="G2617" s="14"/>
      <c r="H2617" s="14"/>
      <c r="I2617" s="14"/>
      <c r="J2617" s="14"/>
      <c r="K2617" s="14"/>
      <c r="L2617" s="14"/>
      <c r="M2617" s="14"/>
    </row>
    <row r="2618" spans="2:13" s="7" customFormat="1" ht="13.5">
      <c r="B2618" s="30"/>
      <c r="C2618" s="30"/>
      <c r="D2618" s="31"/>
      <c r="E2618" s="35"/>
      <c r="F2618" s="130"/>
      <c r="G2618" s="14"/>
      <c r="H2618" s="14"/>
      <c r="I2618" s="14"/>
      <c r="J2618" s="14"/>
      <c r="K2618" s="14"/>
      <c r="L2618" s="14"/>
      <c r="M2618" s="14"/>
    </row>
    <row r="2619" spans="2:13" s="7" customFormat="1" ht="13.5">
      <c r="B2619" s="30"/>
      <c r="C2619" s="30"/>
      <c r="D2619" s="31"/>
      <c r="E2619" s="35"/>
      <c r="F2619" s="130"/>
      <c r="G2619" s="14"/>
      <c r="H2619" s="14"/>
      <c r="I2619" s="14"/>
      <c r="J2619" s="14"/>
      <c r="K2619" s="14"/>
      <c r="L2619" s="14"/>
      <c r="M2619" s="14"/>
    </row>
    <row r="2620" spans="2:13" s="7" customFormat="1" ht="13.5">
      <c r="B2620" s="30"/>
      <c r="C2620" s="30"/>
      <c r="D2620" s="31"/>
      <c r="E2620" s="35"/>
      <c r="F2620" s="130"/>
      <c r="G2620" s="14"/>
      <c r="H2620" s="14"/>
      <c r="I2620" s="14"/>
      <c r="J2620" s="14"/>
      <c r="K2620" s="14"/>
      <c r="L2620" s="14"/>
      <c r="M2620" s="14"/>
    </row>
    <row r="2621" spans="2:13" s="7" customFormat="1" ht="13.5">
      <c r="B2621" s="30"/>
      <c r="C2621" s="30"/>
      <c r="D2621" s="31"/>
      <c r="E2621" s="35"/>
      <c r="F2621" s="130"/>
      <c r="G2621" s="14"/>
      <c r="H2621" s="14"/>
      <c r="I2621" s="14"/>
      <c r="J2621" s="14"/>
      <c r="K2621" s="14"/>
      <c r="L2621" s="14"/>
      <c r="M2621" s="14"/>
    </row>
    <row r="2622" spans="2:13" s="7" customFormat="1" ht="13.5">
      <c r="B2622" s="30"/>
      <c r="C2622" s="30"/>
      <c r="D2622" s="31"/>
      <c r="E2622" s="35"/>
      <c r="F2622" s="130"/>
      <c r="G2622" s="14"/>
      <c r="H2622" s="14"/>
      <c r="I2622" s="14"/>
      <c r="J2622" s="14"/>
      <c r="K2622" s="14"/>
      <c r="L2622" s="14"/>
      <c r="M2622" s="14"/>
    </row>
    <row r="2623" spans="2:13" s="7" customFormat="1" ht="13.5">
      <c r="B2623" s="30"/>
      <c r="C2623" s="30"/>
      <c r="D2623" s="31"/>
      <c r="E2623" s="35"/>
      <c r="F2623" s="130"/>
      <c r="G2623" s="14"/>
      <c r="H2623" s="14"/>
      <c r="I2623" s="14"/>
      <c r="J2623" s="14"/>
      <c r="K2623" s="14"/>
      <c r="L2623" s="14"/>
      <c r="M2623" s="14"/>
    </row>
    <row r="2624" spans="2:13" s="7" customFormat="1" ht="13.5">
      <c r="B2624" s="30"/>
      <c r="C2624" s="30"/>
      <c r="D2624" s="31"/>
      <c r="E2624" s="35"/>
      <c r="F2624" s="130"/>
      <c r="G2624" s="14"/>
      <c r="H2624" s="14"/>
      <c r="I2624" s="14"/>
      <c r="J2624" s="14"/>
      <c r="K2624" s="14"/>
      <c r="L2624" s="14"/>
      <c r="M2624" s="14"/>
    </row>
    <row r="2625" spans="2:13" s="7" customFormat="1" ht="13.5">
      <c r="B2625" s="30"/>
      <c r="C2625" s="30"/>
      <c r="D2625" s="31"/>
      <c r="E2625" s="35"/>
      <c r="F2625" s="130"/>
      <c r="G2625" s="14"/>
      <c r="H2625" s="14"/>
      <c r="I2625" s="14"/>
      <c r="J2625" s="14"/>
      <c r="K2625" s="14"/>
      <c r="L2625" s="14"/>
      <c r="M2625" s="14"/>
    </row>
    <row r="2626" spans="2:13" s="7" customFormat="1" ht="13.5">
      <c r="B2626" s="30"/>
      <c r="C2626" s="30"/>
      <c r="D2626" s="31"/>
      <c r="E2626" s="35"/>
      <c r="F2626" s="130"/>
      <c r="G2626" s="14"/>
      <c r="H2626" s="14"/>
      <c r="I2626" s="14"/>
      <c r="J2626" s="14"/>
      <c r="K2626" s="14"/>
      <c r="L2626" s="14"/>
      <c r="M2626" s="14"/>
    </row>
    <row r="2627" spans="2:13" s="7" customFormat="1" ht="13.5">
      <c r="B2627" s="30"/>
      <c r="C2627" s="30"/>
      <c r="D2627" s="31"/>
      <c r="E2627" s="35"/>
      <c r="F2627" s="130"/>
      <c r="G2627" s="14"/>
      <c r="H2627" s="14"/>
      <c r="I2627" s="14"/>
      <c r="J2627" s="14"/>
      <c r="K2627" s="14"/>
      <c r="L2627" s="14"/>
      <c r="M2627" s="14"/>
    </row>
    <row r="2628" spans="2:13" s="7" customFormat="1" ht="13.5">
      <c r="B2628" s="30"/>
      <c r="C2628" s="30"/>
      <c r="D2628" s="31"/>
      <c r="E2628" s="35"/>
      <c r="F2628" s="130"/>
      <c r="G2628" s="14"/>
      <c r="H2628" s="14"/>
      <c r="I2628" s="14"/>
      <c r="J2628" s="14"/>
      <c r="K2628" s="14"/>
      <c r="L2628" s="14"/>
      <c r="M2628" s="14"/>
    </row>
    <row r="2629" spans="2:13" s="7" customFormat="1" ht="13.5">
      <c r="B2629" s="30"/>
      <c r="C2629" s="30"/>
      <c r="D2629" s="31"/>
      <c r="E2629" s="35"/>
      <c r="F2629" s="130"/>
      <c r="G2629" s="14"/>
      <c r="H2629" s="14"/>
      <c r="I2629" s="14"/>
      <c r="J2629" s="14"/>
      <c r="K2629" s="14"/>
      <c r="L2629" s="14"/>
      <c r="M2629" s="14"/>
    </row>
    <row r="2630" spans="2:13" s="7" customFormat="1" ht="13.5">
      <c r="B2630" s="30"/>
      <c r="C2630" s="30"/>
      <c r="D2630" s="31"/>
      <c r="E2630" s="35"/>
      <c r="F2630" s="130"/>
      <c r="G2630" s="14"/>
      <c r="H2630" s="14"/>
      <c r="I2630" s="14"/>
      <c r="J2630" s="14"/>
      <c r="K2630" s="14"/>
      <c r="L2630" s="14"/>
      <c r="M2630" s="14"/>
    </row>
    <row r="2631" spans="2:13" s="7" customFormat="1" ht="13.5">
      <c r="B2631" s="30"/>
      <c r="C2631" s="30"/>
      <c r="D2631" s="31"/>
      <c r="E2631" s="35"/>
      <c r="F2631" s="130"/>
      <c r="G2631" s="14"/>
      <c r="H2631" s="14"/>
      <c r="I2631" s="14"/>
      <c r="J2631" s="14"/>
      <c r="K2631" s="14"/>
      <c r="L2631" s="14"/>
      <c r="M2631" s="14"/>
    </row>
    <row r="2632" spans="2:13" s="7" customFormat="1" ht="13.5">
      <c r="B2632" s="30"/>
      <c r="C2632" s="30"/>
      <c r="D2632" s="31"/>
      <c r="E2632" s="35"/>
      <c r="F2632" s="130"/>
      <c r="G2632" s="14"/>
      <c r="H2632" s="14"/>
      <c r="I2632" s="14"/>
      <c r="J2632" s="14"/>
      <c r="K2632" s="14"/>
      <c r="L2632" s="14"/>
      <c r="M2632" s="14"/>
    </row>
    <row r="2633" spans="2:13" s="7" customFormat="1" ht="13.5">
      <c r="B2633" s="30"/>
      <c r="C2633" s="30"/>
      <c r="D2633" s="31"/>
      <c r="E2633" s="35"/>
      <c r="F2633" s="130"/>
      <c r="G2633" s="14"/>
      <c r="H2633" s="14"/>
      <c r="I2633" s="14"/>
      <c r="J2633" s="14"/>
      <c r="K2633" s="14"/>
      <c r="L2633" s="14"/>
      <c r="M2633" s="14"/>
    </row>
    <row r="2634" spans="2:13" s="7" customFormat="1" ht="13.5">
      <c r="B2634" s="30"/>
      <c r="C2634" s="30"/>
      <c r="D2634" s="31"/>
      <c r="E2634" s="35"/>
      <c r="F2634" s="130"/>
      <c r="G2634" s="14"/>
      <c r="H2634" s="14"/>
      <c r="I2634" s="14"/>
      <c r="J2634" s="14"/>
      <c r="K2634" s="14"/>
      <c r="L2634" s="14"/>
      <c r="M2634" s="14"/>
    </row>
    <row r="2635" spans="2:13" s="7" customFormat="1" ht="13.5">
      <c r="B2635" s="30"/>
      <c r="C2635" s="30"/>
      <c r="D2635" s="31"/>
      <c r="E2635" s="35"/>
      <c r="F2635" s="130"/>
      <c r="G2635" s="14"/>
      <c r="H2635" s="14"/>
      <c r="I2635" s="14"/>
      <c r="J2635" s="14"/>
      <c r="K2635" s="14"/>
      <c r="L2635" s="14"/>
      <c r="M2635" s="14"/>
    </row>
    <row r="2636" spans="2:13" s="7" customFormat="1" ht="13.5">
      <c r="B2636" s="30"/>
      <c r="C2636" s="30"/>
      <c r="D2636" s="31"/>
      <c r="E2636" s="35"/>
      <c r="F2636" s="130"/>
      <c r="G2636" s="14"/>
      <c r="H2636" s="14"/>
      <c r="I2636" s="14"/>
      <c r="J2636" s="14"/>
      <c r="K2636" s="14"/>
      <c r="L2636" s="14"/>
      <c r="M2636" s="14"/>
    </row>
    <row r="2637" spans="2:13" s="7" customFormat="1" ht="13.5">
      <c r="B2637" s="30"/>
      <c r="C2637" s="30"/>
      <c r="D2637" s="31"/>
      <c r="E2637" s="35"/>
      <c r="F2637" s="130"/>
      <c r="G2637" s="14"/>
      <c r="H2637" s="14"/>
      <c r="I2637" s="14"/>
      <c r="J2637" s="14"/>
      <c r="K2637" s="14"/>
      <c r="L2637" s="14"/>
      <c r="M2637" s="14"/>
    </row>
    <row r="2638" spans="2:13" s="7" customFormat="1" ht="13.5">
      <c r="B2638" s="30"/>
      <c r="C2638" s="30"/>
      <c r="D2638" s="31"/>
      <c r="E2638" s="35"/>
      <c r="F2638" s="130"/>
      <c r="G2638" s="14"/>
      <c r="H2638" s="14"/>
      <c r="I2638" s="14"/>
      <c r="J2638" s="14"/>
      <c r="K2638" s="14"/>
      <c r="L2638" s="14"/>
      <c r="M2638" s="14"/>
    </row>
    <row r="2639" spans="2:13" s="7" customFormat="1" ht="13.5">
      <c r="B2639" s="30"/>
      <c r="C2639" s="30"/>
      <c r="D2639" s="31"/>
      <c r="E2639" s="35"/>
      <c r="F2639" s="130"/>
      <c r="G2639" s="14"/>
      <c r="H2639" s="14"/>
      <c r="I2639" s="14"/>
      <c r="J2639" s="14"/>
      <c r="K2639" s="14"/>
      <c r="L2639" s="14"/>
      <c r="M2639" s="14"/>
    </row>
    <row r="2640" spans="2:13" s="7" customFormat="1" ht="13.5">
      <c r="B2640" s="30"/>
      <c r="C2640" s="30"/>
      <c r="D2640" s="31"/>
      <c r="E2640" s="35"/>
      <c r="F2640" s="130"/>
      <c r="G2640" s="14"/>
      <c r="H2640" s="14"/>
      <c r="I2640" s="14"/>
      <c r="J2640" s="14"/>
      <c r="K2640" s="14"/>
      <c r="L2640" s="14"/>
      <c r="M2640" s="14"/>
    </row>
    <row r="2641" spans="2:13" s="7" customFormat="1" ht="13.5">
      <c r="B2641" s="30"/>
      <c r="C2641" s="30"/>
      <c r="D2641" s="31"/>
      <c r="E2641" s="35"/>
      <c r="F2641" s="130"/>
      <c r="G2641" s="14"/>
      <c r="H2641" s="14"/>
      <c r="I2641" s="14"/>
      <c r="J2641" s="14"/>
      <c r="K2641" s="14"/>
      <c r="L2641" s="14"/>
      <c r="M2641" s="14"/>
    </row>
    <row r="2642" spans="2:13" s="7" customFormat="1" ht="13.5">
      <c r="B2642" s="30"/>
      <c r="C2642" s="30"/>
      <c r="D2642" s="31"/>
      <c r="E2642" s="35"/>
      <c r="F2642" s="130"/>
      <c r="G2642" s="14"/>
      <c r="H2642" s="14"/>
      <c r="I2642" s="14"/>
      <c r="J2642" s="14"/>
      <c r="K2642" s="14"/>
      <c r="L2642" s="14"/>
      <c r="M2642" s="14"/>
    </row>
    <row r="2643" spans="2:13" s="7" customFormat="1" ht="13.5">
      <c r="B2643" s="30"/>
      <c r="C2643" s="30"/>
      <c r="D2643" s="31"/>
      <c r="E2643" s="35"/>
      <c r="F2643" s="130"/>
      <c r="G2643" s="14"/>
      <c r="H2643" s="14"/>
      <c r="I2643" s="14"/>
      <c r="J2643" s="14"/>
      <c r="K2643" s="14"/>
      <c r="L2643" s="14"/>
      <c r="M2643" s="14"/>
    </row>
    <row r="2644" spans="2:13" s="7" customFormat="1" ht="13.5">
      <c r="B2644" s="30"/>
      <c r="C2644" s="30"/>
      <c r="D2644" s="31"/>
      <c r="E2644" s="35"/>
      <c r="F2644" s="130"/>
      <c r="G2644" s="14"/>
      <c r="H2644" s="14"/>
      <c r="I2644" s="14"/>
      <c r="J2644" s="14"/>
      <c r="K2644" s="14"/>
      <c r="L2644" s="14"/>
      <c r="M2644" s="14"/>
    </row>
    <row r="2645" spans="2:13" s="7" customFormat="1" ht="13.5">
      <c r="B2645" s="30"/>
      <c r="C2645" s="30"/>
      <c r="D2645" s="31"/>
      <c r="E2645" s="35"/>
      <c r="F2645" s="130"/>
      <c r="G2645" s="14"/>
      <c r="H2645" s="14"/>
      <c r="I2645" s="14"/>
      <c r="J2645" s="14"/>
      <c r="K2645" s="14"/>
      <c r="L2645" s="14"/>
      <c r="M2645" s="14"/>
    </row>
    <row r="2646" spans="2:13" s="7" customFormat="1" ht="13.5">
      <c r="B2646" s="30"/>
      <c r="C2646" s="30"/>
      <c r="D2646" s="31"/>
      <c r="E2646" s="35"/>
      <c r="F2646" s="130"/>
      <c r="G2646" s="14"/>
      <c r="H2646" s="14"/>
      <c r="I2646" s="14"/>
      <c r="J2646" s="14"/>
      <c r="K2646" s="14"/>
      <c r="L2646" s="14"/>
      <c r="M2646" s="14"/>
    </row>
    <row r="2647" spans="2:13" s="7" customFormat="1" ht="13.5">
      <c r="B2647" s="30"/>
      <c r="C2647" s="30"/>
      <c r="D2647" s="31"/>
      <c r="E2647" s="35"/>
      <c r="F2647" s="130"/>
      <c r="G2647" s="14"/>
      <c r="H2647" s="14"/>
      <c r="I2647" s="14"/>
      <c r="J2647" s="14"/>
      <c r="K2647" s="14"/>
      <c r="L2647" s="14"/>
      <c r="M2647" s="14"/>
    </row>
    <row r="2648" spans="2:13" s="7" customFormat="1" ht="13.5">
      <c r="B2648" s="30"/>
      <c r="C2648" s="30"/>
      <c r="D2648" s="31"/>
      <c r="E2648" s="35"/>
      <c r="F2648" s="130"/>
      <c r="G2648" s="14"/>
      <c r="H2648" s="14"/>
      <c r="I2648" s="14"/>
      <c r="J2648" s="14"/>
      <c r="K2648" s="14"/>
      <c r="L2648" s="14"/>
      <c r="M2648" s="14"/>
    </row>
    <row r="2649" spans="2:13" s="7" customFormat="1" ht="13.5">
      <c r="B2649" s="30"/>
      <c r="C2649" s="30"/>
      <c r="D2649" s="31"/>
      <c r="E2649" s="35"/>
      <c r="F2649" s="130"/>
      <c r="G2649" s="14"/>
      <c r="H2649" s="14"/>
      <c r="I2649" s="14"/>
      <c r="J2649" s="14"/>
      <c r="K2649" s="14"/>
      <c r="L2649" s="14"/>
      <c r="M2649" s="14"/>
    </row>
    <row r="2650" spans="2:13" s="7" customFormat="1" ht="13.5">
      <c r="B2650" s="30"/>
      <c r="C2650" s="30"/>
      <c r="D2650" s="31"/>
      <c r="E2650" s="35"/>
      <c r="F2650" s="130"/>
      <c r="G2650" s="14"/>
      <c r="H2650" s="14"/>
      <c r="I2650" s="14"/>
      <c r="J2650" s="14"/>
      <c r="K2650" s="14"/>
      <c r="L2650" s="14"/>
      <c r="M2650" s="14"/>
    </row>
    <row r="2651" spans="2:13" s="7" customFormat="1" ht="13.5">
      <c r="B2651" s="30"/>
      <c r="C2651" s="30"/>
      <c r="D2651" s="31"/>
      <c r="E2651" s="35"/>
      <c r="F2651" s="130"/>
      <c r="G2651" s="14"/>
      <c r="H2651" s="14"/>
      <c r="I2651" s="14"/>
      <c r="J2651" s="14"/>
      <c r="K2651" s="14"/>
      <c r="L2651" s="14"/>
      <c r="M2651" s="14"/>
    </row>
    <row r="2652" spans="2:13" s="7" customFormat="1" ht="13.5">
      <c r="B2652" s="30"/>
      <c r="C2652" s="30"/>
      <c r="D2652" s="31"/>
      <c r="E2652" s="35"/>
      <c r="F2652" s="130"/>
      <c r="G2652" s="14"/>
      <c r="H2652" s="14"/>
      <c r="I2652" s="14"/>
      <c r="J2652" s="14"/>
      <c r="K2652" s="14"/>
      <c r="L2652" s="14"/>
      <c r="M2652" s="14"/>
    </row>
    <row r="2653" spans="2:13" s="7" customFormat="1" ht="13.5">
      <c r="B2653" s="30"/>
      <c r="C2653" s="30"/>
      <c r="D2653" s="31"/>
      <c r="E2653" s="35"/>
      <c r="F2653" s="130"/>
      <c r="G2653" s="14"/>
      <c r="H2653" s="14"/>
      <c r="I2653" s="14"/>
      <c r="J2653" s="14"/>
      <c r="K2653" s="14"/>
      <c r="L2653" s="14"/>
      <c r="M2653" s="14"/>
    </row>
    <row r="2654" spans="2:13" s="7" customFormat="1" ht="13.5">
      <c r="B2654" s="30"/>
      <c r="C2654" s="30"/>
      <c r="D2654" s="31"/>
      <c r="E2654" s="35"/>
      <c r="F2654" s="130"/>
      <c r="G2654" s="14"/>
      <c r="H2654" s="14"/>
      <c r="I2654" s="14"/>
      <c r="J2654" s="14"/>
      <c r="K2654" s="14"/>
      <c r="L2654" s="14"/>
      <c r="M2654" s="14"/>
    </row>
    <row r="2655" spans="2:13" s="7" customFormat="1" ht="13.5">
      <c r="B2655" s="30"/>
      <c r="C2655" s="30"/>
      <c r="D2655" s="31"/>
      <c r="E2655" s="35"/>
      <c r="F2655" s="130"/>
      <c r="G2655" s="14"/>
      <c r="H2655" s="14"/>
      <c r="I2655" s="14"/>
      <c r="J2655" s="14"/>
      <c r="K2655" s="14"/>
      <c r="L2655" s="14"/>
      <c r="M2655" s="14"/>
    </row>
    <row r="2656" spans="2:13" s="7" customFormat="1" ht="13.5">
      <c r="B2656" s="30"/>
      <c r="C2656" s="30"/>
      <c r="D2656" s="31"/>
      <c r="E2656" s="35"/>
      <c r="F2656" s="130"/>
      <c r="G2656" s="14"/>
      <c r="H2656" s="14"/>
      <c r="I2656" s="14"/>
      <c r="J2656" s="14"/>
      <c r="K2656" s="14"/>
      <c r="L2656" s="14"/>
      <c r="M2656" s="14"/>
    </row>
    <row r="2657" spans="2:13" s="7" customFormat="1" ht="13.5">
      <c r="B2657" s="30"/>
      <c r="C2657" s="30"/>
      <c r="D2657" s="31"/>
      <c r="E2657" s="35"/>
      <c r="F2657" s="130"/>
      <c r="G2657" s="14"/>
      <c r="H2657" s="14"/>
      <c r="I2657" s="14"/>
      <c r="J2657" s="14"/>
      <c r="K2657" s="14"/>
      <c r="L2657" s="14"/>
      <c r="M2657" s="14"/>
    </row>
    <row r="2658" spans="2:13" s="7" customFormat="1" ht="13.5">
      <c r="B2658" s="30"/>
      <c r="C2658" s="30"/>
      <c r="D2658" s="31"/>
      <c r="E2658" s="35"/>
      <c r="F2658" s="130"/>
      <c r="G2658" s="14"/>
      <c r="H2658" s="14"/>
      <c r="I2658" s="14"/>
      <c r="J2658" s="14"/>
      <c r="K2658" s="14"/>
      <c r="L2658" s="14"/>
      <c r="M2658" s="14"/>
    </row>
    <row r="2659" spans="2:13" s="7" customFormat="1" ht="13.5">
      <c r="B2659" s="30"/>
      <c r="C2659" s="30"/>
      <c r="D2659" s="31"/>
      <c r="E2659" s="35"/>
      <c r="F2659" s="130"/>
      <c r="G2659" s="14"/>
      <c r="H2659" s="14"/>
      <c r="I2659" s="14"/>
      <c r="J2659" s="14"/>
      <c r="K2659" s="14"/>
      <c r="L2659" s="14"/>
      <c r="M2659" s="14"/>
    </row>
    <row r="2660" spans="2:13" s="7" customFormat="1" ht="13.5">
      <c r="B2660" s="30"/>
      <c r="C2660" s="30"/>
      <c r="D2660" s="31"/>
      <c r="E2660" s="35"/>
      <c r="F2660" s="130"/>
      <c r="G2660" s="14"/>
      <c r="H2660" s="14"/>
      <c r="I2660" s="14"/>
      <c r="J2660" s="14"/>
      <c r="K2660" s="14"/>
      <c r="L2660" s="14"/>
      <c r="M2660" s="14"/>
    </row>
    <row r="2661" spans="2:13" s="7" customFormat="1" ht="13.5">
      <c r="B2661" s="30"/>
      <c r="C2661" s="30"/>
      <c r="D2661" s="31"/>
      <c r="E2661" s="35"/>
      <c r="F2661" s="130"/>
      <c r="G2661" s="14"/>
      <c r="H2661" s="14"/>
      <c r="I2661" s="14"/>
      <c r="J2661" s="14"/>
      <c r="K2661" s="14"/>
      <c r="L2661" s="14"/>
      <c r="M2661" s="14"/>
    </row>
    <row r="2662" spans="2:13" s="7" customFormat="1" ht="13.5">
      <c r="B2662" s="30"/>
      <c r="C2662" s="30"/>
      <c r="D2662" s="31"/>
      <c r="E2662" s="35"/>
      <c r="F2662" s="130"/>
      <c r="G2662" s="14"/>
      <c r="H2662" s="14"/>
      <c r="I2662" s="14"/>
      <c r="J2662" s="14"/>
      <c r="K2662" s="14"/>
      <c r="L2662" s="14"/>
      <c r="M2662" s="14"/>
    </row>
    <row r="2663" spans="2:13" s="7" customFormat="1" ht="13.5">
      <c r="B2663" s="30"/>
      <c r="C2663" s="30"/>
      <c r="D2663" s="31"/>
      <c r="E2663" s="35"/>
      <c r="F2663" s="130"/>
      <c r="G2663" s="14"/>
      <c r="H2663" s="14"/>
      <c r="I2663" s="14"/>
      <c r="J2663" s="14"/>
      <c r="K2663" s="14"/>
      <c r="L2663" s="14"/>
      <c r="M2663" s="14"/>
    </row>
    <row r="2664" spans="2:13" s="7" customFormat="1" ht="13.5">
      <c r="B2664" s="30"/>
      <c r="C2664" s="30"/>
      <c r="D2664" s="31"/>
      <c r="E2664" s="35"/>
      <c r="F2664" s="130"/>
      <c r="G2664" s="14"/>
      <c r="H2664" s="14"/>
      <c r="I2664" s="14"/>
      <c r="J2664" s="14"/>
      <c r="K2664" s="14"/>
      <c r="L2664" s="14"/>
      <c r="M2664" s="14"/>
    </row>
    <row r="2665" spans="2:13" s="7" customFormat="1" ht="13.5">
      <c r="B2665" s="30"/>
      <c r="C2665" s="30"/>
      <c r="D2665" s="31"/>
      <c r="E2665" s="35"/>
      <c r="F2665" s="130"/>
      <c r="G2665" s="14"/>
      <c r="H2665" s="14"/>
      <c r="I2665" s="14"/>
      <c r="J2665" s="14"/>
      <c r="K2665" s="14"/>
      <c r="L2665" s="14"/>
      <c r="M2665" s="14"/>
    </row>
    <row r="2666" spans="2:13" s="7" customFormat="1" ht="13.5">
      <c r="B2666" s="30"/>
      <c r="C2666" s="30"/>
      <c r="D2666" s="31"/>
      <c r="E2666" s="35"/>
      <c r="F2666" s="130"/>
      <c r="G2666" s="14"/>
      <c r="H2666" s="14"/>
      <c r="I2666" s="14"/>
      <c r="J2666" s="14"/>
      <c r="K2666" s="14"/>
      <c r="L2666" s="14"/>
      <c r="M2666" s="14"/>
    </row>
    <row r="2667" spans="2:13" s="7" customFormat="1" ht="13.5">
      <c r="B2667" s="30"/>
      <c r="C2667" s="30"/>
      <c r="D2667" s="31"/>
      <c r="E2667" s="35"/>
      <c r="F2667" s="130"/>
      <c r="G2667" s="14"/>
      <c r="H2667" s="14"/>
      <c r="I2667" s="14"/>
      <c r="J2667" s="14"/>
      <c r="K2667" s="14"/>
      <c r="L2667" s="14"/>
      <c r="M2667" s="14"/>
    </row>
    <row r="2668" spans="2:13" s="7" customFormat="1" ht="13.5">
      <c r="B2668" s="30"/>
      <c r="C2668" s="30"/>
      <c r="D2668" s="31"/>
      <c r="E2668" s="35"/>
      <c r="F2668" s="130"/>
      <c r="G2668" s="14"/>
      <c r="H2668" s="14"/>
      <c r="I2668" s="14"/>
      <c r="J2668" s="14"/>
      <c r="K2668" s="14"/>
      <c r="L2668" s="14"/>
      <c r="M2668" s="14"/>
    </row>
    <row r="2669" spans="2:13" s="7" customFormat="1" ht="13.5">
      <c r="B2669" s="30"/>
      <c r="C2669" s="30"/>
      <c r="D2669" s="31"/>
      <c r="E2669" s="35"/>
      <c r="F2669" s="130"/>
      <c r="G2669" s="14"/>
      <c r="H2669" s="14"/>
      <c r="I2669" s="14"/>
      <c r="J2669" s="14"/>
      <c r="K2669" s="14"/>
      <c r="L2669" s="14"/>
      <c r="M2669" s="14"/>
    </row>
    <row r="2670" spans="2:13" s="7" customFormat="1" ht="13.5">
      <c r="B2670" s="30"/>
      <c r="C2670" s="30"/>
      <c r="D2670" s="31"/>
      <c r="E2670" s="35"/>
      <c r="F2670" s="130"/>
      <c r="G2670" s="14"/>
      <c r="H2670" s="14"/>
      <c r="I2670" s="14"/>
      <c r="J2670" s="14"/>
      <c r="K2670" s="14"/>
      <c r="L2670" s="14"/>
      <c r="M2670" s="14"/>
    </row>
    <row r="2671" spans="2:13" s="7" customFormat="1" ht="13.5">
      <c r="B2671" s="30"/>
      <c r="C2671" s="30"/>
      <c r="D2671" s="31"/>
      <c r="E2671" s="35"/>
      <c r="F2671" s="130"/>
      <c r="G2671" s="14"/>
      <c r="H2671" s="14"/>
      <c r="I2671" s="14"/>
      <c r="J2671" s="14"/>
      <c r="K2671" s="14"/>
      <c r="L2671" s="14"/>
      <c r="M2671" s="14"/>
    </row>
    <row r="2672" spans="2:13" s="7" customFormat="1" ht="13.5">
      <c r="B2672" s="30"/>
      <c r="C2672" s="30"/>
      <c r="D2672" s="31"/>
      <c r="E2672" s="35"/>
      <c r="F2672" s="130"/>
      <c r="G2672" s="14"/>
      <c r="H2672" s="14"/>
      <c r="I2672" s="14"/>
      <c r="J2672" s="14"/>
      <c r="K2672" s="14"/>
      <c r="L2672" s="14"/>
      <c r="M2672" s="14"/>
    </row>
    <row r="2673" spans="2:13" s="7" customFormat="1" ht="13.5">
      <c r="B2673" s="30"/>
      <c r="C2673" s="30"/>
      <c r="D2673" s="31"/>
      <c r="E2673" s="35"/>
      <c r="F2673" s="130"/>
      <c r="G2673" s="14"/>
      <c r="H2673" s="14"/>
      <c r="I2673" s="14"/>
      <c r="J2673" s="14"/>
      <c r="K2673" s="14"/>
      <c r="L2673" s="14"/>
      <c r="M2673" s="14"/>
    </row>
    <row r="2674" spans="2:13" s="7" customFormat="1" ht="13.5">
      <c r="B2674" s="30"/>
      <c r="C2674" s="30"/>
      <c r="D2674" s="31"/>
      <c r="E2674" s="35"/>
      <c r="F2674" s="130"/>
      <c r="G2674" s="14"/>
      <c r="H2674" s="14"/>
      <c r="I2674" s="14"/>
      <c r="J2674" s="14"/>
      <c r="K2674" s="14"/>
      <c r="L2674" s="14"/>
      <c r="M2674" s="14"/>
    </row>
    <row r="2675" spans="2:13" s="7" customFormat="1" ht="13.5">
      <c r="B2675" s="30"/>
      <c r="C2675" s="30"/>
      <c r="D2675" s="31"/>
      <c r="E2675" s="35"/>
      <c r="F2675" s="130"/>
      <c r="G2675" s="14"/>
      <c r="H2675" s="14"/>
      <c r="I2675" s="14"/>
      <c r="J2675" s="14"/>
      <c r="K2675" s="14"/>
      <c r="L2675" s="14"/>
      <c r="M2675" s="14"/>
    </row>
    <row r="2676" spans="2:13" s="7" customFormat="1" ht="13.5">
      <c r="B2676" s="30"/>
      <c r="C2676" s="30"/>
      <c r="D2676" s="31"/>
      <c r="E2676" s="35"/>
      <c r="F2676" s="130"/>
      <c r="G2676" s="14"/>
      <c r="H2676" s="14"/>
      <c r="I2676" s="14"/>
      <c r="J2676" s="14"/>
      <c r="K2676" s="14"/>
      <c r="L2676" s="14"/>
      <c r="M2676" s="14"/>
    </row>
    <row r="2677" spans="2:13" s="7" customFormat="1" ht="13.5">
      <c r="B2677" s="30"/>
      <c r="C2677" s="30"/>
      <c r="D2677" s="31"/>
      <c r="E2677" s="35"/>
      <c r="F2677" s="130"/>
      <c r="G2677" s="14"/>
      <c r="H2677" s="14"/>
      <c r="I2677" s="14"/>
      <c r="J2677" s="14"/>
      <c r="K2677" s="14"/>
      <c r="L2677" s="14"/>
      <c r="M2677" s="14"/>
    </row>
    <row r="2678" spans="2:13" s="7" customFormat="1" ht="13.5">
      <c r="B2678" s="30"/>
      <c r="C2678" s="30"/>
      <c r="D2678" s="31"/>
      <c r="E2678" s="35"/>
      <c r="F2678" s="130"/>
      <c r="G2678" s="14"/>
      <c r="H2678" s="14"/>
      <c r="I2678" s="14"/>
      <c r="J2678" s="14"/>
      <c r="K2678" s="14"/>
      <c r="L2678" s="14"/>
      <c r="M2678" s="14"/>
    </row>
    <row r="2679" spans="2:13" s="7" customFormat="1" ht="13.5">
      <c r="B2679" s="30"/>
      <c r="C2679" s="30"/>
      <c r="D2679" s="31"/>
      <c r="E2679" s="35"/>
      <c r="F2679" s="130"/>
      <c r="G2679" s="14"/>
      <c r="H2679" s="14"/>
      <c r="I2679" s="14"/>
      <c r="J2679" s="14"/>
      <c r="K2679" s="14"/>
      <c r="L2679" s="14"/>
      <c r="M2679" s="14"/>
    </row>
    <row r="2680" spans="2:13" s="7" customFormat="1" ht="13.5">
      <c r="B2680" s="30"/>
      <c r="C2680" s="30"/>
      <c r="D2680" s="31"/>
      <c r="E2680" s="35"/>
      <c r="F2680" s="130"/>
      <c r="G2680" s="14"/>
      <c r="H2680" s="14"/>
      <c r="I2680" s="14"/>
      <c r="J2680" s="14"/>
      <c r="K2680" s="14"/>
      <c r="L2680" s="14"/>
      <c r="M2680" s="14"/>
    </row>
    <row r="2681" spans="2:13" s="7" customFormat="1" ht="13.5">
      <c r="B2681" s="30"/>
      <c r="C2681" s="30"/>
      <c r="D2681" s="31"/>
      <c r="E2681" s="35"/>
      <c r="F2681" s="130"/>
      <c r="G2681" s="14"/>
      <c r="H2681" s="14"/>
      <c r="I2681" s="14"/>
      <c r="J2681" s="14"/>
      <c r="K2681" s="14"/>
      <c r="L2681" s="14"/>
      <c r="M2681" s="14"/>
    </row>
    <row r="2682" spans="2:13" s="7" customFormat="1" ht="13.5">
      <c r="B2682" s="30"/>
      <c r="C2682" s="30"/>
      <c r="D2682" s="31"/>
      <c r="E2682" s="35"/>
      <c r="F2682" s="130"/>
      <c r="G2682" s="14"/>
      <c r="H2682" s="14"/>
      <c r="I2682" s="14"/>
      <c r="J2682" s="14"/>
      <c r="K2682" s="14"/>
      <c r="L2682" s="14"/>
      <c r="M2682" s="14"/>
    </row>
    <row r="2683" spans="2:13" s="7" customFormat="1" ht="13.5">
      <c r="B2683" s="30"/>
      <c r="C2683" s="30"/>
      <c r="D2683" s="31"/>
      <c r="E2683" s="35"/>
      <c r="F2683" s="130"/>
      <c r="G2683" s="14"/>
      <c r="H2683" s="14"/>
      <c r="I2683" s="14"/>
      <c r="J2683" s="14"/>
      <c r="K2683" s="14"/>
      <c r="L2683" s="14"/>
      <c r="M2683" s="14"/>
    </row>
    <row r="2684" spans="2:13" s="7" customFormat="1" ht="13.5">
      <c r="B2684" s="30"/>
      <c r="C2684" s="30"/>
      <c r="D2684" s="31"/>
      <c r="E2684" s="35"/>
      <c r="F2684" s="130"/>
      <c r="G2684" s="14"/>
      <c r="H2684" s="14"/>
      <c r="I2684" s="14"/>
      <c r="J2684" s="14"/>
      <c r="K2684" s="14"/>
      <c r="L2684" s="14"/>
      <c r="M2684" s="14"/>
    </row>
    <row r="2685" spans="2:13" s="7" customFormat="1" ht="13.5">
      <c r="B2685" s="30"/>
      <c r="C2685" s="30"/>
      <c r="D2685" s="31"/>
      <c r="E2685" s="35"/>
      <c r="F2685" s="130"/>
      <c r="G2685" s="14"/>
      <c r="H2685" s="14"/>
      <c r="I2685" s="14"/>
      <c r="J2685" s="14"/>
      <c r="K2685" s="14"/>
      <c r="L2685" s="14"/>
      <c r="M2685" s="14"/>
    </row>
    <row r="2686" spans="2:13" s="7" customFormat="1" ht="13.5">
      <c r="B2686" s="30"/>
      <c r="C2686" s="30"/>
      <c r="D2686" s="31"/>
      <c r="E2686" s="35"/>
      <c r="F2686" s="130"/>
      <c r="G2686" s="14"/>
      <c r="H2686" s="14"/>
      <c r="I2686" s="14"/>
      <c r="J2686" s="14"/>
      <c r="K2686" s="14"/>
      <c r="L2686" s="14"/>
      <c r="M2686" s="14"/>
    </row>
    <row r="2687" spans="2:13" s="7" customFormat="1" ht="13.5">
      <c r="B2687" s="30"/>
      <c r="C2687" s="30"/>
      <c r="D2687" s="31"/>
      <c r="E2687" s="35"/>
      <c r="F2687" s="130"/>
      <c r="G2687" s="14"/>
      <c r="H2687" s="14"/>
      <c r="I2687" s="14"/>
      <c r="J2687" s="14"/>
      <c r="K2687" s="14"/>
      <c r="L2687" s="14"/>
      <c r="M2687" s="14"/>
    </row>
    <row r="2688" spans="2:13" s="7" customFormat="1" ht="13.5">
      <c r="B2688" s="30"/>
      <c r="C2688" s="30"/>
      <c r="D2688" s="31"/>
      <c r="E2688" s="35"/>
      <c r="F2688" s="130"/>
      <c r="G2688" s="14"/>
      <c r="H2688" s="14"/>
      <c r="I2688" s="14"/>
      <c r="J2688" s="14"/>
      <c r="K2688" s="14"/>
      <c r="L2688" s="14"/>
      <c r="M2688" s="14"/>
    </row>
    <row r="2689" spans="2:13" s="7" customFormat="1" ht="13.5">
      <c r="B2689" s="30"/>
      <c r="C2689" s="30"/>
      <c r="D2689" s="31"/>
      <c r="E2689" s="35"/>
      <c r="F2689" s="130"/>
      <c r="G2689" s="14"/>
      <c r="H2689" s="14"/>
      <c r="I2689" s="14"/>
      <c r="J2689" s="14"/>
      <c r="K2689" s="14"/>
      <c r="L2689" s="14"/>
      <c r="M2689" s="14"/>
    </row>
    <row r="2690" spans="2:13" s="7" customFormat="1" ht="13.5">
      <c r="B2690" s="30"/>
      <c r="C2690" s="30"/>
      <c r="D2690" s="31"/>
      <c r="E2690" s="35"/>
      <c r="F2690" s="130"/>
      <c r="G2690" s="14"/>
      <c r="H2690" s="14"/>
      <c r="I2690" s="14"/>
      <c r="J2690" s="14"/>
      <c r="K2690" s="14"/>
      <c r="L2690" s="14"/>
      <c r="M2690" s="14"/>
    </row>
    <row r="2691" spans="2:13" s="7" customFormat="1" ht="13.5">
      <c r="B2691" s="30"/>
      <c r="C2691" s="30"/>
      <c r="D2691" s="31"/>
      <c r="E2691" s="35"/>
      <c r="F2691" s="130"/>
      <c r="G2691" s="14"/>
      <c r="H2691" s="14"/>
      <c r="I2691" s="14"/>
      <c r="J2691" s="14"/>
      <c r="K2691" s="14"/>
      <c r="L2691" s="14"/>
      <c r="M2691" s="14"/>
    </row>
    <row r="2692" spans="2:13" s="7" customFormat="1" ht="13.5">
      <c r="B2692" s="30"/>
      <c r="C2692" s="30"/>
      <c r="D2692" s="31"/>
      <c r="E2692" s="35"/>
      <c r="F2692" s="130"/>
      <c r="G2692" s="14"/>
      <c r="H2692" s="14"/>
      <c r="I2692" s="14"/>
      <c r="J2692" s="14"/>
      <c r="K2692" s="14"/>
      <c r="L2692" s="14"/>
      <c r="M2692" s="14"/>
    </row>
    <row r="2693" spans="2:13" s="7" customFormat="1" ht="13.5">
      <c r="B2693" s="30"/>
      <c r="C2693" s="30"/>
      <c r="D2693" s="31"/>
      <c r="E2693" s="35"/>
      <c r="F2693" s="130"/>
      <c r="G2693" s="14"/>
      <c r="H2693" s="14"/>
      <c r="I2693" s="14"/>
      <c r="J2693" s="14"/>
      <c r="K2693" s="14"/>
      <c r="L2693" s="14"/>
      <c r="M2693" s="14"/>
    </row>
    <row r="2694" spans="2:13" s="7" customFormat="1" ht="13.5">
      <c r="B2694" s="30"/>
      <c r="C2694" s="30"/>
      <c r="D2694" s="31"/>
      <c r="E2694" s="35"/>
      <c r="F2694" s="130"/>
      <c r="G2694" s="14"/>
      <c r="H2694" s="14"/>
      <c r="I2694" s="14"/>
      <c r="J2694" s="14"/>
      <c r="K2694" s="14"/>
      <c r="L2694" s="14"/>
      <c r="M2694" s="14"/>
    </row>
    <row r="2695" spans="2:13" s="7" customFormat="1" ht="13.5">
      <c r="B2695" s="30"/>
      <c r="C2695" s="30"/>
      <c r="D2695" s="31"/>
      <c r="E2695" s="35"/>
      <c r="F2695" s="130"/>
      <c r="G2695" s="14"/>
      <c r="H2695" s="14"/>
      <c r="I2695" s="14"/>
      <c r="J2695" s="14"/>
      <c r="K2695" s="14"/>
      <c r="L2695" s="14"/>
      <c r="M2695" s="14"/>
    </row>
    <row r="2696" spans="2:13" s="7" customFormat="1" ht="13.5">
      <c r="B2696" s="30"/>
      <c r="C2696" s="30"/>
      <c r="D2696" s="31"/>
      <c r="E2696" s="35"/>
      <c r="F2696" s="130"/>
      <c r="G2696" s="14"/>
      <c r="H2696" s="14"/>
      <c r="I2696" s="14"/>
      <c r="J2696" s="14"/>
      <c r="K2696" s="14"/>
      <c r="L2696" s="14"/>
      <c r="M2696" s="14"/>
    </row>
    <row r="2697" spans="2:13" s="7" customFormat="1" ht="13.5">
      <c r="B2697" s="30"/>
      <c r="C2697" s="30"/>
      <c r="D2697" s="31"/>
      <c r="E2697" s="35"/>
      <c r="F2697" s="130"/>
      <c r="G2697" s="14"/>
      <c r="H2697" s="14"/>
      <c r="I2697" s="14"/>
      <c r="J2697" s="14"/>
      <c r="K2697" s="14"/>
      <c r="L2697" s="14"/>
      <c r="M2697" s="14"/>
    </row>
    <row r="2698" spans="2:13" s="7" customFormat="1" ht="13.5">
      <c r="B2698" s="30"/>
      <c r="C2698" s="30"/>
      <c r="D2698" s="31"/>
      <c r="E2698" s="35"/>
      <c r="F2698" s="130"/>
      <c r="G2698" s="14"/>
      <c r="H2698" s="14"/>
      <c r="I2698" s="14"/>
      <c r="J2698" s="14"/>
      <c r="K2698" s="14"/>
      <c r="L2698" s="14"/>
      <c r="M2698" s="14"/>
    </row>
    <row r="2699" spans="2:13" s="7" customFormat="1" ht="13.5">
      <c r="B2699" s="30"/>
      <c r="C2699" s="30"/>
      <c r="D2699" s="31"/>
      <c r="E2699" s="35"/>
      <c r="F2699" s="130"/>
      <c r="G2699" s="14"/>
      <c r="H2699" s="14"/>
      <c r="I2699" s="14"/>
      <c r="J2699" s="14"/>
      <c r="K2699" s="14"/>
      <c r="L2699" s="14"/>
      <c r="M2699" s="14"/>
    </row>
    <row r="2700" spans="2:13" s="7" customFormat="1" ht="13.5">
      <c r="B2700" s="30"/>
      <c r="C2700" s="30"/>
      <c r="D2700" s="31"/>
      <c r="E2700" s="35"/>
      <c r="F2700" s="130"/>
      <c r="G2700" s="14"/>
      <c r="H2700" s="14"/>
      <c r="I2700" s="14"/>
      <c r="J2700" s="14"/>
      <c r="K2700" s="14"/>
      <c r="L2700" s="14"/>
      <c r="M2700" s="14"/>
    </row>
    <row r="2701" spans="2:13" s="7" customFormat="1" ht="13.5">
      <c r="B2701" s="30"/>
      <c r="C2701" s="30"/>
      <c r="D2701" s="31"/>
      <c r="E2701" s="35"/>
      <c r="F2701" s="130"/>
      <c r="G2701" s="14"/>
      <c r="H2701" s="14"/>
      <c r="I2701" s="14"/>
      <c r="J2701" s="14"/>
      <c r="K2701" s="14"/>
      <c r="L2701" s="14"/>
      <c r="M2701" s="14"/>
    </row>
    <row r="2702" spans="2:13" s="7" customFormat="1" ht="13.5">
      <c r="B2702" s="30"/>
      <c r="C2702" s="30"/>
      <c r="D2702" s="31"/>
      <c r="E2702" s="35"/>
      <c r="F2702" s="130"/>
      <c r="G2702" s="14"/>
      <c r="H2702" s="14"/>
      <c r="I2702" s="14"/>
      <c r="J2702" s="14"/>
      <c r="K2702" s="14"/>
      <c r="L2702" s="14"/>
      <c r="M2702" s="14"/>
    </row>
    <row r="2703" spans="2:13" s="7" customFormat="1" ht="13.5">
      <c r="B2703" s="30"/>
      <c r="C2703" s="30"/>
      <c r="D2703" s="31"/>
      <c r="E2703" s="35"/>
      <c r="F2703" s="130"/>
      <c r="G2703" s="14"/>
      <c r="H2703" s="14"/>
      <c r="I2703" s="14"/>
      <c r="J2703" s="14"/>
      <c r="K2703" s="14"/>
      <c r="L2703" s="14"/>
      <c r="M2703" s="14"/>
    </row>
    <row r="2704" spans="2:13" s="7" customFormat="1" ht="13.5">
      <c r="B2704" s="30"/>
      <c r="C2704" s="30"/>
      <c r="D2704" s="31"/>
      <c r="E2704" s="35"/>
      <c r="F2704" s="130"/>
      <c r="G2704" s="14"/>
      <c r="H2704" s="14"/>
      <c r="I2704" s="14"/>
      <c r="J2704" s="14"/>
      <c r="K2704" s="14"/>
      <c r="L2704" s="14"/>
      <c r="M2704" s="14"/>
    </row>
    <row r="2705" spans="2:13" s="7" customFormat="1" ht="13.5">
      <c r="B2705" s="30"/>
      <c r="C2705" s="30"/>
      <c r="D2705" s="31"/>
      <c r="E2705" s="35"/>
      <c r="F2705" s="130"/>
      <c r="G2705" s="14"/>
      <c r="H2705" s="14"/>
      <c r="I2705" s="14"/>
      <c r="J2705" s="14"/>
      <c r="K2705" s="14"/>
      <c r="L2705" s="14"/>
      <c r="M2705" s="14"/>
    </row>
    <row r="2706" spans="2:13" s="7" customFormat="1" ht="13.5">
      <c r="B2706" s="30"/>
      <c r="C2706" s="30"/>
      <c r="D2706" s="31"/>
      <c r="E2706" s="35"/>
      <c r="F2706" s="130"/>
      <c r="G2706" s="14"/>
      <c r="H2706" s="14"/>
      <c r="I2706" s="14"/>
      <c r="J2706" s="14"/>
      <c r="K2706" s="14"/>
      <c r="L2706" s="14"/>
      <c r="M2706" s="14"/>
    </row>
    <row r="2707" spans="2:13" s="7" customFormat="1" ht="13.5">
      <c r="B2707" s="30"/>
      <c r="C2707" s="30"/>
      <c r="D2707" s="31"/>
      <c r="E2707" s="35"/>
      <c r="F2707" s="130"/>
      <c r="G2707" s="14"/>
      <c r="H2707" s="14"/>
      <c r="I2707" s="14"/>
      <c r="J2707" s="14"/>
      <c r="K2707" s="14"/>
      <c r="L2707" s="14"/>
      <c r="M2707" s="14"/>
    </row>
    <row r="2708" spans="2:13" s="7" customFormat="1" ht="13.5">
      <c r="B2708" s="30"/>
      <c r="C2708" s="30"/>
      <c r="D2708" s="31"/>
      <c r="E2708" s="35"/>
      <c r="F2708" s="130"/>
      <c r="G2708" s="14"/>
      <c r="H2708" s="14"/>
      <c r="I2708" s="14"/>
      <c r="J2708" s="14"/>
      <c r="K2708" s="14"/>
      <c r="L2708" s="14"/>
      <c r="M2708" s="14"/>
    </row>
    <row r="2709" spans="2:13" s="7" customFormat="1" ht="13.5">
      <c r="B2709" s="30"/>
      <c r="C2709" s="30"/>
      <c r="D2709" s="31"/>
      <c r="E2709" s="35"/>
      <c r="F2709" s="130"/>
      <c r="G2709" s="14"/>
      <c r="H2709" s="14"/>
      <c r="I2709" s="14"/>
      <c r="J2709" s="14"/>
      <c r="K2709" s="14"/>
      <c r="L2709" s="14"/>
      <c r="M2709" s="14"/>
    </row>
    <row r="2710" spans="2:13" s="7" customFormat="1" ht="13.5">
      <c r="B2710" s="30"/>
      <c r="C2710" s="30"/>
      <c r="D2710" s="31"/>
      <c r="E2710" s="35"/>
      <c r="F2710" s="130"/>
      <c r="G2710" s="14"/>
      <c r="H2710" s="14"/>
      <c r="I2710" s="14"/>
      <c r="J2710" s="14"/>
      <c r="K2710" s="14"/>
      <c r="L2710" s="14"/>
      <c r="M2710" s="14"/>
    </row>
    <row r="2711" spans="2:13" s="7" customFormat="1" ht="13.5">
      <c r="B2711" s="30"/>
      <c r="C2711" s="30"/>
      <c r="D2711" s="31"/>
      <c r="E2711" s="35"/>
      <c r="F2711" s="130"/>
      <c r="G2711" s="14"/>
      <c r="H2711" s="14"/>
      <c r="I2711" s="14"/>
      <c r="J2711" s="14"/>
      <c r="K2711" s="14"/>
      <c r="L2711" s="14"/>
      <c r="M2711" s="14"/>
    </row>
    <row r="2712" spans="2:13" s="7" customFormat="1" ht="13.5">
      <c r="B2712" s="30"/>
      <c r="C2712" s="30"/>
      <c r="D2712" s="31"/>
      <c r="E2712" s="35"/>
      <c r="F2712" s="130"/>
      <c r="G2712" s="14"/>
      <c r="H2712" s="14"/>
      <c r="I2712" s="14"/>
      <c r="J2712" s="14"/>
      <c r="K2712" s="14"/>
      <c r="L2712" s="14"/>
      <c r="M2712" s="14"/>
    </row>
    <row r="2713" spans="2:13" s="7" customFormat="1" ht="13.5">
      <c r="B2713" s="30"/>
      <c r="C2713" s="30"/>
      <c r="D2713" s="31"/>
      <c r="E2713" s="35"/>
      <c r="F2713" s="130"/>
      <c r="G2713" s="14"/>
      <c r="H2713" s="14"/>
      <c r="I2713" s="14"/>
      <c r="J2713" s="14"/>
      <c r="K2713" s="14"/>
      <c r="L2713" s="14"/>
      <c r="M2713" s="14"/>
    </row>
    <row r="2714" spans="2:13" s="7" customFormat="1" ht="13.5">
      <c r="B2714" s="30"/>
      <c r="C2714" s="30"/>
      <c r="D2714" s="31"/>
      <c r="E2714" s="35"/>
      <c r="F2714" s="130"/>
      <c r="G2714" s="14"/>
      <c r="H2714" s="14"/>
      <c r="I2714" s="14"/>
      <c r="J2714" s="14"/>
      <c r="K2714" s="14"/>
      <c r="L2714" s="14"/>
      <c r="M2714" s="14"/>
    </row>
    <row r="2715" spans="2:13" s="7" customFormat="1" ht="13.5">
      <c r="B2715" s="30"/>
      <c r="C2715" s="30"/>
      <c r="D2715" s="31"/>
      <c r="E2715" s="35"/>
      <c r="F2715" s="130"/>
      <c r="G2715" s="14"/>
      <c r="H2715" s="14"/>
      <c r="I2715" s="14"/>
      <c r="J2715" s="14"/>
      <c r="K2715" s="14"/>
      <c r="L2715" s="14"/>
      <c r="M2715" s="14"/>
    </row>
    <row r="2716" spans="2:13" s="7" customFormat="1" ht="13.5">
      <c r="B2716" s="30"/>
      <c r="C2716" s="30"/>
      <c r="D2716" s="31"/>
      <c r="E2716" s="35"/>
      <c r="F2716" s="130"/>
      <c r="G2716" s="14"/>
      <c r="H2716" s="14"/>
      <c r="I2716" s="14"/>
      <c r="J2716" s="14"/>
      <c r="K2716" s="14"/>
      <c r="L2716" s="14"/>
      <c r="M2716" s="14"/>
    </row>
    <row r="2717" spans="2:13" s="7" customFormat="1" ht="13.5">
      <c r="B2717" s="30"/>
      <c r="C2717" s="30"/>
      <c r="D2717" s="31"/>
      <c r="E2717" s="35"/>
      <c r="F2717" s="130"/>
      <c r="G2717" s="14"/>
      <c r="H2717" s="14"/>
      <c r="I2717" s="14"/>
      <c r="J2717" s="14"/>
      <c r="K2717" s="14"/>
      <c r="L2717" s="14"/>
      <c r="M2717" s="14"/>
    </row>
    <row r="2718" spans="2:13" s="7" customFormat="1" ht="13.5">
      <c r="B2718" s="30"/>
      <c r="C2718" s="30"/>
      <c r="D2718" s="31"/>
      <c r="E2718" s="35"/>
      <c r="F2718" s="130"/>
      <c r="G2718" s="14"/>
      <c r="H2718" s="14"/>
      <c r="I2718" s="14"/>
      <c r="J2718" s="14"/>
      <c r="K2718" s="14"/>
      <c r="L2718" s="14"/>
      <c r="M2718" s="14"/>
    </row>
    <row r="2719" spans="2:13" s="7" customFormat="1" ht="13.5">
      <c r="B2719" s="30"/>
      <c r="C2719" s="30"/>
      <c r="D2719" s="31"/>
      <c r="E2719" s="35"/>
      <c r="F2719" s="130"/>
      <c r="G2719" s="14"/>
      <c r="H2719" s="14"/>
      <c r="I2719" s="14"/>
      <c r="J2719" s="14"/>
      <c r="K2719" s="14"/>
      <c r="L2719" s="14"/>
      <c r="M2719" s="14"/>
    </row>
    <row r="2720" spans="2:13" s="7" customFormat="1" ht="13.5">
      <c r="B2720" s="30"/>
      <c r="C2720" s="30"/>
      <c r="D2720" s="31"/>
      <c r="E2720" s="35"/>
      <c r="F2720" s="130"/>
      <c r="G2720" s="14"/>
      <c r="H2720" s="14"/>
      <c r="I2720" s="14"/>
      <c r="J2720" s="14"/>
      <c r="K2720" s="14"/>
      <c r="L2720" s="14"/>
      <c r="M2720" s="14"/>
    </row>
    <row r="2721" spans="2:13" s="7" customFormat="1" ht="13.5">
      <c r="B2721" s="30"/>
      <c r="C2721" s="30"/>
      <c r="D2721" s="31"/>
      <c r="E2721" s="35"/>
      <c r="F2721" s="130"/>
      <c r="G2721" s="14"/>
      <c r="H2721" s="14"/>
      <c r="I2721" s="14"/>
      <c r="J2721" s="14"/>
      <c r="K2721" s="14"/>
      <c r="L2721" s="14"/>
      <c r="M2721" s="14"/>
    </row>
    <row r="2722" spans="2:13" s="7" customFormat="1" ht="13.5">
      <c r="B2722" s="30"/>
      <c r="C2722" s="30"/>
      <c r="D2722" s="31"/>
      <c r="E2722" s="35"/>
      <c r="F2722" s="130"/>
      <c r="G2722" s="14"/>
      <c r="H2722" s="14"/>
      <c r="I2722" s="14"/>
      <c r="J2722" s="14"/>
      <c r="K2722" s="14"/>
      <c r="L2722" s="14"/>
      <c r="M2722" s="14"/>
    </row>
    <row r="2723" spans="2:13" s="7" customFormat="1" ht="13.5">
      <c r="B2723" s="30"/>
      <c r="C2723" s="30"/>
      <c r="D2723" s="31"/>
      <c r="E2723" s="35"/>
      <c r="F2723" s="130"/>
      <c r="G2723" s="14"/>
      <c r="H2723" s="14"/>
      <c r="I2723" s="14"/>
      <c r="J2723" s="14"/>
      <c r="K2723" s="14"/>
      <c r="L2723" s="14"/>
      <c r="M2723" s="14"/>
    </row>
    <row r="2724" spans="2:13" s="7" customFormat="1" ht="13.5">
      <c r="B2724" s="30"/>
      <c r="C2724" s="30"/>
      <c r="D2724" s="31"/>
      <c r="E2724" s="35"/>
      <c r="F2724" s="130"/>
      <c r="G2724" s="14"/>
      <c r="H2724" s="14"/>
      <c r="I2724" s="14"/>
      <c r="J2724" s="14"/>
      <c r="K2724" s="14"/>
      <c r="L2724" s="14"/>
      <c r="M2724" s="14"/>
    </row>
    <row r="2725" spans="2:13" s="7" customFormat="1" ht="13.5">
      <c r="B2725" s="30"/>
      <c r="C2725" s="30"/>
      <c r="D2725" s="31"/>
      <c r="E2725" s="35"/>
      <c r="F2725" s="130"/>
      <c r="G2725" s="14"/>
      <c r="H2725" s="14"/>
      <c r="I2725" s="14"/>
      <c r="J2725" s="14"/>
      <c r="K2725" s="14"/>
      <c r="L2725" s="14"/>
      <c r="M2725" s="14"/>
    </row>
    <row r="2726" spans="2:13" s="7" customFormat="1" ht="13.5">
      <c r="B2726" s="30"/>
      <c r="C2726" s="30"/>
      <c r="D2726" s="31"/>
      <c r="E2726" s="35"/>
      <c r="F2726" s="130"/>
      <c r="G2726" s="14"/>
      <c r="H2726" s="14"/>
      <c r="I2726" s="14"/>
      <c r="J2726" s="14"/>
      <c r="K2726" s="14"/>
      <c r="L2726" s="14"/>
      <c r="M2726" s="14"/>
    </row>
    <row r="2727" spans="2:13" s="7" customFormat="1" ht="13.5">
      <c r="B2727" s="30"/>
      <c r="C2727" s="30"/>
      <c r="D2727" s="31"/>
      <c r="E2727" s="35"/>
      <c r="F2727" s="130"/>
      <c r="G2727" s="14"/>
      <c r="H2727" s="14"/>
      <c r="I2727" s="14"/>
      <c r="J2727" s="14"/>
      <c r="K2727" s="14"/>
      <c r="L2727" s="14"/>
      <c r="M2727" s="14"/>
    </row>
    <row r="2728" spans="2:13" s="7" customFormat="1" ht="13.5">
      <c r="B2728" s="30"/>
      <c r="C2728" s="30"/>
      <c r="D2728" s="31"/>
      <c r="E2728" s="35"/>
      <c r="F2728" s="130"/>
      <c r="G2728" s="14"/>
      <c r="H2728" s="14"/>
      <c r="I2728" s="14"/>
      <c r="J2728" s="14"/>
      <c r="K2728" s="14"/>
      <c r="L2728" s="14"/>
      <c r="M2728" s="14"/>
    </row>
    <row r="2729" spans="2:13" s="7" customFormat="1" ht="13.5">
      <c r="B2729" s="30"/>
      <c r="C2729" s="30"/>
      <c r="D2729" s="31"/>
      <c r="E2729" s="35"/>
      <c r="F2729" s="130"/>
      <c r="G2729" s="14"/>
      <c r="H2729" s="14"/>
      <c r="I2729" s="14"/>
      <c r="J2729" s="14"/>
      <c r="K2729" s="14"/>
      <c r="L2729" s="14"/>
      <c r="M2729" s="14"/>
    </row>
    <row r="2730" spans="2:13" s="7" customFormat="1" ht="13.5">
      <c r="B2730" s="30"/>
      <c r="C2730" s="30"/>
      <c r="D2730" s="31"/>
      <c r="E2730" s="35"/>
      <c r="F2730" s="130"/>
      <c r="G2730" s="14"/>
      <c r="H2730" s="14"/>
      <c r="I2730" s="14"/>
      <c r="J2730" s="14"/>
      <c r="K2730" s="14"/>
      <c r="L2730" s="14"/>
      <c r="M2730" s="14"/>
    </row>
    <row r="2731" spans="2:13" s="7" customFormat="1" ht="13.5">
      <c r="B2731" s="30"/>
      <c r="C2731" s="30"/>
      <c r="D2731" s="31"/>
      <c r="E2731" s="35"/>
      <c r="F2731" s="130"/>
      <c r="G2731" s="14"/>
      <c r="H2731" s="14"/>
      <c r="I2731" s="14"/>
      <c r="J2731" s="14"/>
      <c r="K2731" s="14"/>
      <c r="L2731" s="14"/>
      <c r="M2731" s="14"/>
    </row>
    <row r="2732" spans="2:13" s="7" customFormat="1" ht="13.5">
      <c r="B2732" s="30"/>
      <c r="C2732" s="30"/>
      <c r="D2732" s="31"/>
      <c r="E2732" s="35"/>
      <c r="F2732" s="130"/>
      <c r="G2732" s="14"/>
      <c r="H2732" s="14"/>
      <c r="I2732" s="14"/>
      <c r="J2732" s="14"/>
      <c r="K2732" s="14"/>
      <c r="L2732" s="14"/>
      <c r="M2732" s="14"/>
    </row>
    <row r="2733" spans="2:13" s="7" customFormat="1" ht="13.5">
      <c r="B2733" s="30"/>
      <c r="C2733" s="30"/>
      <c r="D2733" s="31"/>
      <c r="E2733" s="35"/>
      <c r="F2733" s="130"/>
      <c r="G2733" s="14"/>
      <c r="H2733" s="14"/>
      <c r="I2733" s="14"/>
      <c r="J2733" s="14"/>
      <c r="K2733" s="14"/>
      <c r="L2733" s="14"/>
      <c r="M2733" s="14"/>
    </row>
    <row r="2734" spans="2:13" s="7" customFormat="1" ht="13.5">
      <c r="B2734" s="30"/>
      <c r="C2734" s="30"/>
      <c r="D2734" s="31"/>
      <c r="E2734" s="35"/>
      <c r="F2734" s="130"/>
      <c r="G2734" s="14"/>
      <c r="H2734" s="14"/>
      <c r="I2734" s="14"/>
      <c r="J2734" s="14"/>
      <c r="K2734" s="14"/>
      <c r="L2734" s="14"/>
      <c r="M2734" s="14"/>
    </row>
    <row r="2735" spans="2:13" s="7" customFormat="1" ht="13.5">
      <c r="B2735" s="30"/>
      <c r="C2735" s="30"/>
      <c r="D2735" s="31"/>
      <c r="E2735" s="35"/>
      <c r="F2735" s="130"/>
      <c r="G2735" s="14"/>
      <c r="H2735" s="14"/>
      <c r="I2735" s="14"/>
      <c r="J2735" s="14"/>
      <c r="K2735" s="14"/>
      <c r="L2735" s="14"/>
      <c r="M2735" s="14"/>
    </row>
    <row r="2736" spans="2:13" s="7" customFormat="1" ht="13.5">
      <c r="B2736" s="30"/>
      <c r="C2736" s="30"/>
      <c r="D2736" s="31"/>
      <c r="E2736" s="35"/>
      <c r="F2736" s="130"/>
      <c r="G2736" s="14"/>
      <c r="H2736" s="14"/>
      <c r="I2736" s="14"/>
      <c r="J2736" s="14"/>
      <c r="K2736" s="14"/>
      <c r="L2736" s="14"/>
      <c r="M2736" s="14"/>
    </row>
    <row r="2737" spans="2:13" s="7" customFormat="1" ht="13.5">
      <c r="B2737" s="30"/>
      <c r="C2737" s="30"/>
      <c r="D2737" s="31"/>
      <c r="E2737" s="35"/>
      <c r="F2737" s="130"/>
      <c r="G2737" s="14"/>
      <c r="H2737" s="14"/>
      <c r="I2737" s="14"/>
      <c r="J2737" s="14"/>
      <c r="K2737" s="14"/>
      <c r="L2737" s="14"/>
      <c r="M2737" s="14"/>
    </row>
    <row r="2738" spans="2:13" s="7" customFormat="1" ht="13.5">
      <c r="B2738" s="30"/>
      <c r="C2738" s="30"/>
      <c r="D2738" s="31"/>
      <c r="E2738" s="35"/>
      <c r="F2738" s="130"/>
      <c r="G2738" s="14"/>
      <c r="H2738" s="14"/>
      <c r="I2738" s="14"/>
      <c r="J2738" s="14"/>
      <c r="K2738" s="14"/>
      <c r="L2738" s="14"/>
      <c r="M2738" s="14"/>
    </row>
    <row r="2739" spans="2:13" s="7" customFormat="1" ht="13.5">
      <c r="B2739" s="30"/>
      <c r="C2739" s="30"/>
      <c r="D2739" s="31"/>
      <c r="E2739" s="35"/>
      <c r="F2739" s="130"/>
      <c r="G2739" s="14"/>
      <c r="H2739" s="14"/>
      <c r="I2739" s="14"/>
      <c r="J2739" s="14"/>
      <c r="K2739" s="14"/>
      <c r="L2739" s="14"/>
      <c r="M2739" s="14"/>
    </row>
    <row r="2740" spans="2:13" s="7" customFormat="1" ht="13.5">
      <c r="B2740" s="30"/>
      <c r="C2740" s="30"/>
      <c r="D2740" s="31"/>
      <c r="E2740" s="35"/>
      <c r="F2740" s="130"/>
      <c r="G2740" s="14"/>
      <c r="H2740" s="14"/>
      <c r="I2740" s="14"/>
      <c r="J2740" s="14"/>
      <c r="K2740" s="14"/>
      <c r="L2740" s="14"/>
      <c r="M2740" s="14"/>
    </row>
    <row r="2741" spans="2:13" s="7" customFormat="1" ht="13.5">
      <c r="B2741" s="30"/>
      <c r="C2741" s="30"/>
      <c r="D2741" s="31"/>
      <c r="E2741" s="35"/>
      <c r="F2741" s="130"/>
      <c r="G2741" s="14"/>
      <c r="H2741" s="14"/>
      <c r="I2741" s="14"/>
      <c r="J2741" s="14"/>
      <c r="K2741" s="14"/>
      <c r="L2741" s="14"/>
      <c r="M2741" s="14"/>
    </row>
    <row r="2742" spans="2:13" s="7" customFormat="1" ht="13.5">
      <c r="B2742" s="30"/>
      <c r="C2742" s="30"/>
      <c r="D2742" s="31"/>
      <c r="E2742" s="35"/>
      <c r="F2742" s="130"/>
      <c r="G2742" s="14"/>
      <c r="H2742" s="14"/>
      <c r="I2742" s="14"/>
      <c r="J2742" s="14"/>
      <c r="K2742" s="14"/>
      <c r="L2742" s="14"/>
      <c r="M2742" s="14"/>
    </row>
    <row r="2743" spans="2:13" s="7" customFormat="1" ht="13.5">
      <c r="B2743" s="30"/>
      <c r="C2743" s="30"/>
      <c r="D2743" s="31"/>
      <c r="E2743" s="35"/>
      <c r="F2743" s="130"/>
      <c r="G2743" s="14"/>
      <c r="H2743" s="14"/>
      <c r="I2743" s="14"/>
      <c r="J2743" s="14"/>
      <c r="K2743" s="14"/>
      <c r="L2743" s="14"/>
      <c r="M2743" s="14"/>
    </row>
    <row r="2744" spans="2:13" s="7" customFormat="1" ht="13.5">
      <c r="B2744" s="30"/>
      <c r="C2744" s="30"/>
      <c r="D2744" s="31"/>
      <c r="E2744" s="35"/>
      <c r="F2744" s="130"/>
      <c r="G2744" s="14"/>
      <c r="H2744" s="14"/>
      <c r="I2744" s="14"/>
      <c r="J2744" s="14"/>
      <c r="K2744" s="14"/>
      <c r="L2744" s="14"/>
      <c r="M2744" s="14"/>
    </row>
    <row r="2745" spans="2:13" s="7" customFormat="1" ht="13.5">
      <c r="B2745" s="30"/>
      <c r="C2745" s="30"/>
      <c r="D2745" s="31"/>
      <c r="E2745" s="35"/>
      <c r="F2745" s="130"/>
      <c r="G2745" s="14"/>
      <c r="H2745" s="14"/>
      <c r="I2745" s="14"/>
      <c r="J2745" s="14"/>
      <c r="K2745" s="14"/>
      <c r="L2745" s="14"/>
      <c r="M2745" s="14"/>
    </row>
    <row r="2746" spans="2:13" s="7" customFormat="1" ht="13.5">
      <c r="B2746" s="30"/>
      <c r="C2746" s="30"/>
      <c r="D2746" s="31"/>
      <c r="E2746" s="35"/>
      <c r="F2746" s="130"/>
      <c r="G2746" s="14"/>
      <c r="H2746" s="14"/>
      <c r="I2746" s="14"/>
      <c r="J2746" s="14"/>
      <c r="K2746" s="14"/>
      <c r="L2746" s="14"/>
      <c r="M2746" s="14"/>
    </row>
    <row r="2747" spans="2:13" s="7" customFormat="1" ht="13.5">
      <c r="B2747" s="30"/>
      <c r="C2747" s="30"/>
      <c r="D2747" s="31"/>
      <c r="E2747" s="35"/>
      <c r="F2747" s="130"/>
      <c r="G2747" s="14"/>
      <c r="H2747" s="14"/>
      <c r="I2747" s="14"/>
      <c r="J2747" s="14"/>
      <c r="K2747" s="14"/>
      <c r="L2747" s="14"/>
      <c r="M2747" s="14"/>
    </row>
    <row r="2748" spans="2:13" s="7" customFormat="1" ht="13.5">
      <c r="B2748" s="30"/>
      <c r="C2748" s="30"/>
      <c r="D2748" s="31"/>
      <c r="E2748" s="35"/>
      <c r="F2748" s="130"/>
      <c r="G2748" s="14"/>
      <c r="H2748" s="14"/>
      <c r="I2748" s="14"/>
      <c r="J2748" s="14"/>
      <c r="K2748" s="14"/>
      <c r="L2748" s="14"/>
      <c r="M2748" s="14"/>
    </row>
    <row r="2749" spans="2:13" s="7" customFormat="1" ht="13.5">
      <c r="B2749" s="30"/>
      <c r="C2749" s="30"/>
      <c r="D2749" s="31"/>
      <c r="E2749" s="35"/>
      <c r="F2749" s="130"/>
      <c r="G2749" s="14"/>
      <c r="H2749" s="14"/>
      <c r="I2749" s="14"/>
      <c r="J2749" s="14"/>
      <c r="K2749" s="14"/>
      <c r="L2749" s="14"/>
      <c r="M2749" s="14"/>
    </row>
    <row r="2750" spans="2:13" s="7" customFormat="1" ht="13.5">
      <c r="B2750" s="30"/>
      <c r="C2750" s="30"/>
      <c r="D2750" s="31"/>
      <c r="E2750" s="35"/>
      <c r="F2750" s="130"/>
      <c r="G2750" s="14"/>
      <c r="H2750" s="14"/>
      <c r="I2750" s="14"/>
      <c r="J2750" s="14"/>
      <c r="K2750" s="14"/>
      <c r="L2750" s="14"/>
      <c r="M2750" s="14"/>
    </row>
    <row r="2751" spans="2:13" s="7" customFormat="1" ht="13.5">
      <c r="B2751" s="30"/>
      <c r="C2751" s="30"/>
      <c r="D2751" s="31"/>
      <c r="E2751" s="35"/>
      <c r="F2751" s="130"/>
      <c r="G2751" s="14"/>
      <c r="H2751" s="14"/>
      <c r="I2751" s="14"/>
      <c r="J2751" s="14"/>
      <c r="K2751" s="14"/>
      <c r="L2751" s="14"/>
      <c r="M2751" s="14"/>
    </row>
    <row r="2752" spans="2:13" s="7" customFormat="1" ht="13.5">
      <c r="B2752" s="30"/>
      <c r="C2752" s="30"/>
      <c r="D2752" s="31"/>
      <c r="E2752" s="35"/>
      <c r="F2752" s="130"/>
      <c r="G2752" s="14"/>
      <c r="H2752" s="14"/>
      <c r="I2752" s="14"/>
      <c r="J2752" s="14"/>
      <c r="K2752" s="14"/>
      <c r="L2752" s="14"/>
      <c r="M2752" s="14"/>
    </row>
    <row r="2753" spans="2:13" s="7" customFormat="1" ht="13.5">
      <c r="B2753" s="30"/>
      <c r="C2753" s="30"/>
      <c r="D2753" s="31"/>
      <c r="E2753" s="35"/>
      <c r="F2753" s="130"/>
      <c r="G2753" s="14"/>
      <c r="H2753" s="14"/>
      <c r="I2753" s="14"/>
      <c r="J2753" s="14"/>
      <c r="K2753" s="14"/>
      <c r="L2753" s="14"/>
      <c r="M2753" s="14"/>
    </row>
    <row r="2754" spans="2:13" s="7" customFormat="1" ht="13.5">
      <c r="B2754" s="30"/>
      <c r="C2754" s="30"/>
      <c r="D2754" s="31"/>
      <c r="E2754" s="35"/>
      <c r="F2754" s="130"/>
      <c r="G2754" s="14"/>
      <c r="H2754" s="14"/>
      <c r="I2754" s="14"/>
      <c r="J2754" s="14"/>
      <c r="K2754" s="14"/>
      <c r="L2754" s="14"/>
      <c r="M2754" s="14"/>
    </row>
    <row r="2755" spans="2:13" s="7" customFormat="1" ht="13.5">
      <c r="B2755" s="30"/>
      <c r="C2755" s="30"/>
      <c r="D2755" s="31"/>
      <c r="E2755" s="35"/>
      <c r="F2755" s="130"/>
      <c r="G2755" s="14"/>
      <c r="H2755" s="14"/>
      <c r="I2755" s="14"/>
      <c r="J2755" s="14"/>
      <c r="K2755" s="14"/>
      <c r="L2755" s="14"/>
      <c r="M2755" s="14"/>
    </row>
    <row r="2756" spans="2:13" s="7" customFormat="1" ht="13.5">
      <c r="B2756" s="30"/>
      <c r="C2756" s="30"/>
      <c r="D2756" s="31"/>
      <c r="E2756" s="35"/>
      <c r="F2756" s="130"/>
      <c r="G2756" s="14"/>
      <c r="H2756" s="14"/>
      <c r="I2756" s="14"/>
      <c r="J2756" s="14"/>
      <c r="K2756" s="14"/>
      <c r="L2756" s="14"/>
      <c r="M2756" s="14"/>
    </row>
    <row r="2757" spans="2:13" s="7" customFormat="1" ht="13.5">
      <c r="B2757" s="30"/>
      <c r="C2757" s="30"/>
      <c r="D2757" s="31"/>
      <c r="E2757" s="35"/>
      <c r="F2757" s="130"/>
      <c r="G2757" s="14"/>
      <c r="H2757" s="14"/>
      <c r="I2757" s="14"/>
      <c r="J2757" s="14"/>
      <c r="K2757" s="14"/>
      <c r="L2757" s="14"/>
      <c r="M2757" s="14"/>
    </row>
    <row r="2758" spans="2:13" s="7" customFormat="1" ht="13.5">
      <c r="B2758" s="30"/>
      <c r="C2758" s="30"/>
      <c r="D2758" s="31"/>
      <c r="E2758" s="35"/>
      <c r="F2758" s="130"/>
      <c r="G2758" s="14"/>
      <c r="H2758" s="14"/>
      <c r="I2758" s="14"/>
      <c r="J2758" s="14"/>
      <c r="K2758" s="14"/>
      <c r="L2758" s="14"/>
      <c r="M2758" s="14"/>
    </row>
    <row r="2759" spans="2:13" s="7" customFormat="1" ht="13.5">
      <c r="B2759" s="30"/>
      <c r="C2759" s="30"/>
      <c r="D2759" s="31"/>
      <c r="E2759" s="35"/>
      <c r="F2759" s="130"/>
      <c r="G2759" s="14"/>
      <c r="H2759" s="14"/>
      <c r="I2759" s="14"/>
      <c r="J2759" s="14"/>
      <c r="K2759" s="14"/>
      <c r="L2759" s="14"/>
      <c r="M2759" s="14"/>
    </row>
    <row r="2760" spans="2:13" s="7" customFormat="1" ht="13.5">
      <c r="B2760" s="30"/>
      <c r="C2760" s="30"/>
      <c r="D2760" s="31"/>
      <c r="E2760" s="35"/>
      <c r="F2760" s="130"/>
      <c r="G2760" s="14"/>
      <c r="H2760" s="14"/>
      <c r="I2760" s="14"/>
      <c r="J2760" s="14"/>
      <c r="K2760" s="14"/>
      <c r="L2760" s="14"/>
      <c r="M2760" s="14"/>
    </row>
    <row r="2761" spans="2:13" s="7" customFormat="1" ht="13.5">
      <c r="B2761" s="30"/>
      <c r="C2761" s="30"/>
      <c r="D2761" s="31"/>
      <c r="E2761" s="35"/>
      <c r="F2761" s="130"/>
      <c r="G2761" s="14"/>
      <c r="H2761" s="14"/>
      <c r="I2761" s="14"/>
      <c r="J2761" s="14"/>
      <c r="K2761" s="14"/>
      <c r="L2761" s="14"/>
      <c r="M2761" s="14"/>
    </row>
    <row r="2762" spans="2:13" s="7" customFormat="1" ht="13.5">
      <c r="B2762" s="30"/>
      <c r="C2762" s="30"/>
      <c r="D2762" s="31"/>
      <c r="E2762" s="35"/>
      <c r="F2762" s="130"/>
      <c r="G2762" s="14"/>
      <c r="H2762" s="14"/>
      <c r="I2762" s="14"/>
      <c r="J2762" s="14"/>
      <c r="K2762" s="14"/>
      <c r="L2762" s="14"/>
      <c r="M2762" s="14"/>
    </row>
    <row r="2763" spans="2:13" s="7" customFormat="1" ht="13.5">
      <c r="B2763" s="30"/>
      <c r="C2763" s="30"/>
      <c r="D2763" s="31"/>
      <c r="E2763" s="35"/>
      <c r="F2763" s="130"/>
      <c r="G2763" s="14"/>
      <c r="H2763" s="14"/>
      <c r="I2763" s="14"/>
      <c r="J2763" s="14"/>
      <c r="K2763" s="14"/>
      <c r="L2763" s="14"/>
      <c r="M2763" s="14"/>
    </row>
    <row r="2764" spans="2:13" s="7" customFormat="1" ht="13.5">
      <c r="B2764" s="30"/>
      <c r="C2764" s="30"/>
      <c r="D2764" s="31"/>
      <c r="E2764" s="35"/>
      <c r="F2764" s="130"/>
      <c r="G2764" s="14"/>
      <c r="H2764" s="14"/>
      <c r="I2764" s="14"/>
      <c r="J2764" s="14"/>
      <c r="K2764" s="14"/>
      <c r="L2764" s="14"/>
      <c r="M2764" s="14"/>
    </row>
    <row r="2765" spans="2:13" s="7" customFormat="1" ht="13.5">
      <c r="B2765" s="30"/>
      <c r="C2765" s="30"/>
      <c r="D2765" s="31"/>
      <c r="E2765" s="35"/>
      <c r="F2765" s="130"/>
      <c r="G2765" s="14"/>
      <c r="H2765" s="14"/>
      <c r="I2765" s="14"/>
      <c r="J2765" s="14"/>
      <c r="K2765" s="14"/>
      <c r="L2765" s="14"/>
      <c r="M2765" s="14"/>
    </row>
    <row r="2766" spans="2:13" s="7" customFormat="1" ht="13.5">
      <c r="B2766" s="30"/>
      <c r="C2766" s="30"/>
      <c r="D2766" s="31"/>
      <c r="E2766" s="35"/>
      <c r="F2766" s="130"/>
      <c r="G2766" s="14"/>
      <c r="H2766" s="14"/>
      <c r="I2766" s="14"/>
      <c r="J2766" s="14"/>
      <c r="K2766" s="14"/>
      <c r="L2766" s="14"/>
      <c r="M2766" s="14"/>
    </row>
    <row r="2767" spans="2:13" s="7" customFormat="1" ht="13.5">
      <c r="B2767" s="30"/>
      <c r="C2767" s="30"/>
      <c r="D2767" s="31"/>
      <c r="E2767" s="35"/>
      <c r="F2767" s="130"/>
      <c r="G2767" s="14"/>
      <c r="H2767" s="14"/>
      <c r="I2767" s="14"/>
      <c r="J2767" s="14"/>
      <c r="K2767" s="14"/>
      <c r="L2767" s="14"/>
      <c r="M2767" s="14"/>
    </row>
    <row r="2768" spans="2:13" s="7" customFormat="1" ht="13.5">
      <c r="B2768" s="30"/>
      <c r="C2768" s="30"/>
      <c r="D2768" s="31"/>
      <c r="E2768" s="35"/>
      <c r="F2768" s="130"/>
      <c r="G2768" s="14"/>
      <c r="H2768" s="14"/>
      <c r="I2768" s="14"/>
      <c r="J2768" s="14"/>
      <c r="K2768" s="14"/>
      <c r="L2768" s="14"/>
      <c r="M2768" s="14"/>
    </row>
    <row r="2769" spans="2:13" s="7" customFormat="1" ht="13.5">
      <c r="B2769" s="30"/>
      <c r="C2769" s="30"/>
      <c r="D2769" s="31"/>
      <c r="E2769" s="35"/>
      <c r="F2769" s="130"/>
      <c r="G2769" s="14"/>
      <c r="H2769" s="14"/>
      <c r="I2769" s="14"/>
      <c r="J2769" s="14"/>
      <c r="K2769" s="14"/>
      <c r="L2769" s="14"/>
      <c r="M2769" s="14"/>
    </row>
    <row r="2770" spans="2:13" s="7" customFormat="1" ht="13.5">
      <c r="B2770" s="30"/>
      <c r="C2770" s="30"/>
      <c r="D2770" s="31"/>
      <c r="E2770" s="35"/>
      <c r="F2770" s="130"/>
      <c r="G2770" s="14"/>
      <c r="H2770" s="14"/>
      <c r="I2770" s="14"/>
      <c r="J2770" s="14"/>
      <c r="K2770" s="14"/>
      <c r="L2770" s="14"/>
      <c r="M2770" s="14"/>
    </row>
    <row r="2771" spans="2:13" s="7" customFormat="1" ht="13.5">
      <c r="B2771" s="30"/>
      <c r="C2771" s="30"/>
      <c r="D2771" s="31"/>
      <c r="E2771" s="35"/>
      <c r="F2771" s="130"/>
      <c r="G2771" s="14"/>
      <c r="H2771" s="14"/>
      <c r="I2771" s="14"/>
      <c r="J2771" s="14"/>
      <c r="K2771" s="14"/>
      <c r="L2771" s="14"/>
      <c r="M2771" s="14"/>
    </row>
    <row r="2772" spans="2:13" s="7" customFormat="1" ht="13.5">
      <c r="B2772" s="30"/>
      <c r="C2772" s="30"/>
      <c r="D2772" s="31"/>
      <c r="E2772" s="35"/>
      <c r="F2772" s="130"/>
      <c r="G2772" s="14"/>
      <c r="H2772" s="14"/>
      <c r="I2772" s="14"/>
      <c r="J2772" s="14"/>
      <c r="K2772" s="14"/>
      <c r="L2772" s="14"/>
      <c r="M2772" s="14"/>
    </row>
    <row r="2773" spans="2:13" s="7" customFormat="1" ht="13.5">
      <c r="B2773" s="30"/>
      <c r="C2773" s="30"/>
      <c r="D2773" s="31"/>
      <c r="E2773" s="35"/>
      <c r="F2773" s="130"/>
      <c r="G2773" s="14"/>
      <c r="H2773" s="14"/>
      <c r="I2773" s="14"/>
      <c r="J2773" s="14"/>
      <c r="K2773" s="14"/>
      <c r="L2773" s="14"/>
      <c r="M2773" s="14"/>
    </row>
    <row r="2774" spans="2:13" s="7" customFormat="1" ht="13.5">
      <c r="B2774" s="30"/>
      <c r="C2774" s="30"/>
      <c r="D2774" s="31"/>
      <c r="E2774" s="35"/>
      <c r="F2774" s="130"/>
      <c r="G2774" s="14"/>
      <c r="H2774" s="14"/>
      <c r="I2774" s="14"/>
      <c r="J2774" s="14"/>
      <c r="K2774" s="14"/>
      <c r="L2774" s="14"/>
      <c r="M2774" s="14"/>
    </row>
    <row r="2775" spans="2:13" s="7" customFormat="1" ht="13.5">
      <c r="B2775" s="30"/>
      <c r="C2775" s="30"/>
      <c r="D2775" s="31"/>
      <c r="E2775" s="35"/>
      <c r="F2775" s="130"/>
      <c r="G2775" s="14"/>
      <c r="H2775" s="14"/>
      <c r="I2775" s="14"/>
      <c r="J2775" s="14"/>
      <c r="K2775" s="14"/>
      <c r="L2775" s="14"/>
      <c r="M2775" s="14"/>
    </row>
    <row r="2776" spans="2:13" s="7" customFormat="1" ht="13.5">
      <c r="B2776" s="30"/>
      <c r="C2776" s="30"/>
      <c r="D2776" s="31"/>
      <c r="E2776" s="35"/>
      <c r="F2776" s="130"/>
      <c r="G2776" s="14"/>
      <c r="H2776" s="14"/>
      <c r="I2776" s="14"/>
      <c r="J2776" s="14"/>
      <c r="K2776" s="14"/>
      <c r="L2776" s="14"/>
      <c r="M2776" s="14"/>
    </row>
    <row r="2777" spans="2:13" s="7" customFormat="1" ht="13.5">
      <c r="B2777" s="30"/>
      <c r="C2777" s="30"/>
      <c r="D2777" s="31"/>
      <c r="E2777" s="35"/>
      <c r="F2777" s="130"/>
      <c r="G2777" s="14"/>
      <c r="H2777" s="14"/>
      <c r="I2777" s="14"/>
      <c r="J2777" s="14"/>
      <c r="K2777" s="14"/>
      <c r="L2777" s="14"/>
      <c r="M2777" s="14"/>
    </row>
    <row r="2778" spans="2:13" s="7" customFormat="1" ht="13.5">
      <c r="B2778" s="30"/>
      <c r="C2778" s="30"/>
      <c r="D2778" s="31"/>
      <c r="E2778" s="35"/>
      <c r="F2778" s="130"/>
      <c r="G2778" s="14"/>
      <c r="H2778" s="14"/>
      <c r="I2778" s="14"/>
      <c r="J2778" s="14"/>
      <c r="K2778" s="14"/>
      <c r="L2778" s="14"/>
      <c r="M2778" s="14"/>
    </row>
    <row r="2779" spans="2:13" s="7" customFormat="1" ht="13.5">
      <c r="B2779" s="30"/>
      <c r="C2779" s="30"/>
      <c r="D2779" s="31"/>
      <c r="E2779" s="35"/>
      <c r="F2779" s="130"/>
      <c r="G2779" s="14"/>
      <c r="H2779" s="14"/>
      <c r="I2779" s="14"/>
      <c r="J2779" s="14"/>
      <c r="K2779" s="14"/>
      <c r="L2779" s="14"/>
      <c r="M2779" s="14"/>
    </row>
    <row r="2780" spans="2:13" s="7" customFormat="1" ht="13.5">
      <c r="B2780" s="30"/>
      <c r="C2780" s="30"/>
      <c r="D2780" s="31"/>
      <c r="E2780" s="35"/>
      <c r="F2780" s="130"/>
      <c r="G2780" s="14"/>
      <c r="H2780" s="14"/>
      <c r="I2780" s="14"/>
      <c r="J2780" s="14"/>
      <c r="K2780" s="14"/>
      <c r="L2780" s="14"/>
      <c r="M2780" s="14"/>
    </row>
    <row r="2781" spans="2:13" s="7" customFormat="1" ht="13.5">
      <c r="B2781" s="30"/>
      <c r="C2781" s="30"/>
      <c r="D2781" s="31"/>
      <c r="E2781" s="35"/>
      <c r="F2781" s="130"/>
      <c r="G2781" s="14"/>
      <c r="H2781" s="14"/>
      <c r="I2781" s="14"/>
      <c r="J2781" s="14"/>
      <c r="K2781" s="14"/>
      <c r="L2781" s="14"/>
      <c r="M2781" s="14"/>
    </row>
    <row r="2782" spans="2:13" s="7" customFormat="1" ht="13.5">
      <c r="B2782" s="30"/>
      <c r="C2782" s="30"/>
      <c r="D2782" s="31"/>
      <c r="E2782" s="35"/>
      <c r="F2782" s="130"/>
      <c r="G2782" s="14"/>
      <c r="H2782" s="14"/>
      <c r="I2782" s="14"/>
      <c r="J2782" s="14"/>
      <c r="K2782" s="14"/>
      <c r="L2782" s="14"/>
      <c r="M2782" s="14"/>
    </row>
    <row r="2783" spans="2:13" s="7" customFormat="1" ht="13.5">
      <c r="B2783" s="30"/>
      <c r="C2783" s="30"/>
      <c r="D2783" s="31"/>
      <c r="E2783" s="35"/>
      <c r="F2783" s="130"/>
      <c r="G2783" s="14"/>
      <c r="H2783" s="14"/>
      <c r="I2783" s="14"/>
      <c r="J2783" s="14"/>
      <c r="K2783" s="14"/>
      <c r="L2783" s="14"/>
      <c r="M2783" s="14"/>
    </row>
    <row r="2784" spans="2:13" s="7" customFormat="1" ht="13.5">
      <c r="B2784" s="30"/>
      <c r="C2784" s="30"/>
      <c r="D2784" s="31"/>
      <c r="E2784" s="35"/>
      <c r="F2784" s="130"/>
      <c r="G2784" s="14"/>
      <c r="H2784" s="14"/>
      <c r="I2784" s="14"/>
      <c r="J2784" s="14"/>
      <c r="K2784" s="14"/>
      <c r="L2784" s="14"/>
      <c r="M2784" s="14"/>
    </row>
    <row r="2785" spans="2:13" s="7" customFormat="1" ht="13.5">
      <c r="B2785" s="30"/>
      <c r="C2785" s="30"/>
      <c r="D2785" s="31"/>
      <c r="E2785" s="35"/>
      <c r="F2785" s="130"/>
      <c r="G2785" s="14"/>
      <c r="H2785" s="14"/>
      <c r="I2785" s="14"/>
      <c r="J2785" s="14"/>
      <c r="K2785" s="14"/>
      <c r="L2785" s="14"/>
      <c r="M2785" s="14"/>
    </row>
    <row r="2786" spans="2:13" s="7" customFormat="1" ht="13.5">
      <c r="B2786" s="30"/>
      <c r="C2786" s="30"/>
      <c r="D2786" s="31"/>
      <c r="E2786" s="35"/>
      <c r="F2786" s="130"/>
      <c r="G2786" s="14"/>
      <c r="H2786" s="14"/>
      <c r="I2786" s="14"/>
      <c r="J2786" s="14"/>
      <c r="K2786" s="14"/>
      <c r="L2786" s="14"/>
      <c r="M2786" s="14"/>
    </row>
    <row r="2787" spans="2:13" s="7" customFormat="1" ht="13.5">
      <c r="B2787" s="30"/>
      <c r="C2787" s="30"/>
      <c r="D2787" s="31"/>
      <c r="E2787" s="35"/>
      <c r="F2787" s="130"/>
      <c r="G2787" s="14"/>
      <c r="H2787" s="14"/>
      <c r="I2787" s="14"/>
      <c r="J2787" s="14"/>
      <c r="K2787" s="14"/>
      <c r="L2787" s="14"/>
      <c r="M2787" s="14"/>
    </row>
    <row r="2788" spans="2:13" s="7" customFormat="1" ht="13.5">
      <c r="B2788" s="30"/>
      <c r="C2788" s="30"/>
      <c r="D2788" s="31"/>
      <c r="E2788" s="35"/>
      <c r="F2788" s="130"/>
      <c r="G2788" s="14"/>
      <c r="H2788" s="14"/>
      <c r="I2788" s="14"/>
      <c r="J2788" s="14"/>
      <c r="K2788" s="14"/>
      <c r="L2788" s="14"/>
      <c r="M2788" s="14"/>
    </row>
    <row r="2789" spans="2:13" s="7" customFormat="1" ht="13.5">
      <c r="B2789" s="30"/>
      <c r="C2789" s="30"/>
      <c r="D2789" s="31"/>
      <c r="E2789" s="35"/>
      <c r="F2789" s="130"/>
      <c r="G2789" s="14"/>
      <c r="H2789" s="14"/>
      <c r="I2789" s="14"/>
      <c r="J2789" s="14"/>
      <c r="K2789" s="14"/>
      <c r="L2789" s="14"/>
      <c r="M2789" s="14"/>
    </row>
    <row r="2790" spans="2:13" s="7" customFormat="1" ht="13.5">
      <c r="B2790" s="30"/>
      <c r="C2790" s="30"/>
      <c r="D2790" s="31"/>
      <c r="E2790" s="35"/>
      <c r="F2790" s="130"/>
      <c r="G2790" s="14"/>
      <c r="H2790" s="14"/>
      <c r="I2790" s="14"/>
      <c r="J2790" s="14"/>
      <c r="K2790" s="14"/>
      <c r="L2790" s="14"/>
      <c r="M2790" s="14"/>
    </row>
    <row r="2791" spans="2:13" s="7" customFormat="1" ht="13.5">
      <c r="B2791" s="30"/>
      <c r="C2791" s="30"/>
      <c r="D2791" s="31"/>
      <c r="E2791" s="35"/>
      <c r="F2791" s="130"/>
      <c r="G2791" s="14"/>
      <c r="H2791" s="14"/>
      <c r="I2791" s="14"/>
      <c r="J2791" s="14"/>
      <c r="K2791" s="14"/>
      <c r="L2791" s="14"/>
      <c r="M2791" s="14"/>
    </row>
    <row r="2792" spans="2:13" s="7" customFormat="1" ht="13.5">
      <c r="B2792" s="30"/>
      <c r="C2792" s="30"/>
      <c r="D2792" s="31"/>
      <c r="E2792" s="35"/>
      <c r="F2792" s="130"/>
      <c r="G2792" s="14"/>
      <c r="H2792" s="14"/>
      <c r="I2792" s="14"/>
      <c r="J2792" s="14"/>
      <c r="K2792" s="14"/>
      <c r="L2792" s="14"/>
      <c r="M2792" s="14"/>
    </row>
    <row r="2793" spans="2:13" s="7" customFormat="1" ht="13.5">
      <c r="B2793" s="30"/>
      <c r="C2793" s="30"/>
      <c r="D2793" s="31"/>
      <c r="E2793" s="35"/>
      <c r="F2793" s="130"/>
      <c r="G2793" s="14"/>
      <c r="H2793" s="14"/>
      <c r="I2793" s="14"/>
      <c r="J2793" s="14"/>
      <c r="K2793" s="14"/>
      <c r="L2793" s="14"/>
      <c r="M2793" s="14"/>
    </row>
    <row r="2794" spans="2:13" s="7" customFormat="1" ht="13.5">
      <c r="B2794" s="30"/>
      <c r="C2794" s="30"/>
      <c r="D2794" s="31"/>
      <c r="E2794" s="35"/>
      <c r="F2794" s="130"/>
      <c r="G2794" s="14"/>
      <c r="H2794" s="14"/>
      <c r="I2794" s="14"/>
      <c r="J2794" s="14"/>
      <c r="K2794" s="14"/>
      <c r="L2794" s="14"/>
      <c r="M2794" s="14"/>
    </row>
    <row r="2795" spans="2:13" s="7" customFormat="1" ht="13.5">
      <c r="B2795" s="30"/>
      <c r="C2795" s="30"/>
      <c r="D2795" s="31"/>
      <c r="E2795" s="35"/>
      <c r="F2795" s="130"/>
      <c r="G2795" s="14"/>
      <c r="H2795" s="14"/>
      <c r="I2795" s="14"/>
      <c r="J2795" s="14"/>
      <c r="K2795" s="14"/>
      <c r="L2795" s="14"/>
      <c r="M2795" s="14"/>
    </row>
    <row r="2796" spans="2:13" s="7" customFormat="1" ht="13.5">
      <c r="B2796" s="30"/>
      <c r="C2796" s="30"/>
      <c r="D2796" s="31"/>
      <c r="E2796" s="35"/>
      <c r="F2796" s="130"/>
      <c r="G2796" s="14"/>
      <c r="H2796" s="14"/>
      <c r="I2796" s="14"/>
      <c r="J2796" s="14"/>
      <c r="K2796" s="14"/>
      <c r="L2796" s="14"/>
      <c r="M2796" s="14"/>
    </row>
    <row r="2797" spans="2:13" s="7" customFormat="1" ht="13.5">
      <c r="B2797" s="30"/>
      <c r="C2797" s="30"/>
      <c r="D2797" s="31"/>
      <c r="E2797" s="35"/>
      <c r="F2797" s="130"/>
      <c r="G2797" s="14"/>
      <c r="H2797" s="14"/>
      <c r="I2797" s="14"/>
      <c r="J2797" s="14"/>
      <c r="K2797" s="14"/>
      <c r="L2797" s="14"/>
      <c r="M2797" s="14"/>
    </row>
    <row r="2798" spans="2:13" s="7" customFormat="1" ht="13.5">
      <c r="B2798" s="30"/>
      <c r="C2798" s="30"/>
      <c r="D2798" s="31"/>
      <c r="E2798" s="35"/>
      <c r="F2798" s="130"/>
      <c r="G2798" s="14"/>
      <c r="H2798" s="14"/>
      <c r="I2798" s="14"/>
      <c r="J2798" s="14"/>
      <c r="K2798" s="14"/>
      <c r="L2798" s="14"/>
      <c r="M2798" s="14"/>
    </row>
    <row r="2799" spans="2:13" s="7" customFormat="1" ht="13.5">
      <c r="B2799" s="30"/>
      <c r="C2799" s="30"/>
      <c r="D2799" s="31"/>
      <c r="E2799" s="35"/>
      <c r="F2799" s="130"/>
      <c r="G2799" s="14"/>
      <c r="H2799" s="14"/>
      <c r="I2799" s="14"/>
      <c r="J2799" s="14"/>
      <c r="K2799" s="14"/>
      <c r="L2799" s="14"/>
      <c r="M2799" s="14"/>
    </row>
    <row r="2800" spans="2:13" s="7" customFormat="1" ht="13.5">
      <c r="B2800" s="30"/>
      <c r="C2800" s="30"/>
      <c r="D2800" s="31"/>
      <c r="E2800" s="35"/>
      <c r="F2800" s="130"/>
      <c r="G2800" s="14"/>
      <c r="H2800" s="14"/>
      <c r="I2800" s="14"/>
      <c r="J2800" s="14"/>
      <c r="K2800" s="14"/>
      <c r="L2800" s="14"/>
      <c r="M2800" s="14"/>
    </row>
    <row r="2801" spans="2:13" s="7" customFormat="1" ht="13.5">
      <c r="B2801" s="30"/>
      <c r="C2801" s="30"/>
      <c r="D2801" s="31"/>
      <c r="E2801" s="35"/>
      <c r="F2801" s="130"/>
      <c r="G2801" s="14"/>
      <c r="H2801" s="14"/>
      <c r="I2801" s="14"/>
      <c r="J2801" s="14"/>
      <c r="K2801" s="14"/>
      <c r="L2801" s="14"/>
      <c r="M2801" s="14"/>
    </row>
    <row r="2802" spans="2:13" s="7" customFormat="1" ht="13.5">
      <c r="B2802" s="30"/>
      <c r="C2802" s="30"/>
      <c r="D2802" s="31"/>
      <c r="E2802" s="35"/>
      <c r="F2802" s="130"/>
      <c r="G2802" s="14"/>
      <c r="H2802" s="14"/>
      <c r="I2802" s="14"/>
      <c r="J2802" s="14"/>
      <c r="K2802" s="14"/>
      <c r="L2802" s="14"/>
      <c r="M2802" s="14"/>
    </row>
    <row r="2803" spans="2:13" s="7" customFormat="1" ht="13.5">
      <c r="B2803" s="30"/>
      <c r="C2803" s="30"/>
      <c r="D2803" s="31"/>
      <c r="E2803" s="35"/>
      <c r="F2803" s="130"/>
      <c r="G2803" s="14"/>
      <c r="H2803" s="14"/>
      <c r="I2803" s="14"/>
      <c r="J2803" s="14"/>
      <c r="K2803" s="14"/>
      <c r="L2803" s="14"/>
      <c r="M2803" s="14"/>
    </row>
    <row r="2804" spans="2:13" s="7" customFormat="1" ht="13.5">
      <c r="B2804" s="30"/>
      <c r="C2804" s="30"/>
      <c r="D2804" s="31"/>
      <c r="E2804" s="35"/>
      <c r="F2804" s="130"/>
      <c r="G2804" s="14"/>
      <c r="H2804" s="14"/>
      <c r="I2804" s="14"/>
      <c r="J2804" s="14"/>
      <c r="K2804" s="14"/>
      <c r="L2804" s="14"/>
      <c r="M2804" s="14"/>
    </row>
    <row r="2805" spans="2:13" s="7" customFormat="1" ht="13.5">
      <c r="B2805" s="30"/>
      <c r="C2805" s="30"/>
      <c r="D2805" s="31"/>
      <c r="E2805" s="35"/>
      <c r="F2805" s="130"/>
      <c r="G2805" s="14"/>
      <c r="H2805" s="14"/>
      <c r="I2805" s="14"/>
      <c r="J2805" s="14"/>
      <c r="K2805" s="14"/>
      <c r="L2805" s="14"/>
      <c r="M2805" s="14"/>
    </row>
    <row r="2806" spans="2:13" s="7" customFormat="1" ht="13.5">
      <c r="B2806" s="30"/>
      <c r="C2806" s="30"/>
      <c r="D2806" s="31"/>
      <c r="E2806" s="35"/>
      <c r="F2806" s="130"/>
      <c r="G2806" s="14"/>
      <c r="H2806" s="14"/>
      <c r="I2806" s="14"/>
      <c r="J2806" s="14"/>
      <c r="K2806" s="14"/>
      <c r="L2806" s="14"/>
      <c r="M2806" s="14"/>
    </row>
    <row r="2807" spans="2:13" s="7" customFormat="1" ht="13.5">
      <c r="B2807" s="30"/>
      <c r="C2807" s="30"/>
      <c r="D2807" s="31"/>
      <c r="E2807" s="35"/>
      <c r="F2807" s="130"/>
      <c r="G2807" s="14"/>
      <c r="H2807" s="14"/>
      <c r="I2807" s="14"/>
      <c r="J2807" s="14"/>
      <c r="K2807" s="14"/>
      <c r="L2807" s="14"/>
      <c r="M2807" s="14"/>
    </row>
    <row r="2808" spans="2:13" s="7" customFormat="1" ht="13.5">
      <c r="B2808" s="30"/>
      <c r="C2808" s="30"/>
      <c r="D2808" s="31"/>
      <c r="E2808" s="35"/>
      <c r="F2808" s="130"/>
      <c r="G2808" s="14"/>
      <c r="H2808" s="14"/>
      <c r="I2808" s="14"/>
      <c r="J2808" s="14"/>
      <c r="K2808" s="14"/>
      <c r="L2808" s="14"/>
      <c r="M2808" s="14"/>
    </row>
    <row r="2809" spans="2:13" s="7" customFormat="1" ht="13.5">
      <c r="B2809" s="30"/>
      <c r="C2809" s="30"/>
      <c r="D2809" s="31"/>
      <c r="E2809" s="35"/>
      <c r="F2809" s="130"/>
      <c r="G2809" s="14"/>
      <c r="H2809" s="14"/>
      <c r="I2809" s="14"/>
      <c r="J2809" s="14"/>
      <c r="K2809" s="14"/>
      <c r="L2809" s="14"/>
      <c r="M2809" s="14"/>
    </row>
    <row r="2810" spans="2:13" s="7" customFormat="1" ht="13.5">
      <c r="B2810" s="30"/>
      <c r="C2810" s="30"/>
      <c r="D2810" s="31"/>
      <c r="E2810" s="35"/>
      <c r="F2810" s="130"/>
      <c r="G2810" s="14"/>
      <c r="H2810" s="14"/>
      <c r="I2810" s="14"/>
      <c r="J2810" s="14"/>
      <c r="K2810" s="14"/>
      <c r="L2810" s="14"/>
      <c r="M2810" s="14"/>
    </row>
    <row r="2811" spans="2:13" s="7" customFormat="1" ht="13.5">
      <c r="B2811" s="30"/>
      <c r="C2811" s="30"/>
      <c r="D2811" s="31"/>
      <c r="E2811" s="35"/>
      <c r="F2811" s="130"/>
      <c r="G2811" s="14"/>
      <c r="H2811" s="14"/>
      <c r="I2811" s="14"/>
      <c r="J2811" s="14"/>
      <c r="K2811" s="14"/>
      <c r="L2811" s="14"/>
      <c r="M2811" s="14"/>
    </row>
    <row r="2812" spans="2:13" s="7" customFormat="1" ht="13.5">
      <c r="B2812" s="30"/>
      <c r="C2812" s="30"/>
      <c r="D2812" s="31"/>
      <c r="E2812" s="35"/>
      <c r="F2812" s="130"/>
      <c r="G2812" s="14"/>
      <c r="H2812" s="14"/>
      <c r="I2812" s="14"/>
      <c r="J2812" s="14"/>
      <c r="K2812" s="14"/>
      <c r="L2812" s="14"/>
      <c r="M2812" s="14"/>
    </row>
    <row r="2813" spans="2:13" s="7" customFormat="1" ht="13.5">
      <c r="B2813" s="30"/>
      <c r="C2813" s="30"/>
      <c r="D2813" s="31"/>
      <c r="E2813" s="35"/>
      <c r="F2813" s="130"/>
      <c r="G2813" s="14"/>
      <c r="H2813" s="14"/>
      <c r="I2813" s="14"/>
      <c r="J2813" s="14"/>
      <c r="K2813" s="14"/>
      <c r="L2813" s="14"/>
      <c r="M2813" s="14"/>
    </row>
    <row r="2814" spans="2:13" s="7" customFormat="1" ht="13.5">
      <c r="B2814" s="30"/>
      <c r="C2814" s="30"/>
      <c r="D2814" s="31"/>
      <c r="E2814" s="35"/>
      <c r="F2814" s="130"/>
      <c r="G2814" s="14"/>
      <c r="H2814" s="14"/>
      <c r="I2814" s="14"/>
      <c r="J2814" s="14"/>
      <c r="K2814" s="14"/>
      <c r="L2814" s="14"/>
      <c r="M2814" s="14"/>
    </row>
    <row r="2815" spans="2:13" s="7" customFormat="1" ht="13.5">
      <c r="B2815" s="30"/>
      <c r="C2815" s="30"/>
      <c r="D2815" s="31"/>
      <c r="E2815" s="35"/>
      <c r="F2815" s="130"/>
      <c r="G2815" s="14"/>
      <c r="H2815" s="14"/>
      <c r="I2815" s="14"/>
      <c r="J2815" s="14"/>
      <c r="K2815" s="14"/>
      <c r="L2815" s="14"/>
      <c r="M2815" s="14"/>
    </row>
    <row r="2816" spans="2:13" s="7" customFormat="1" ht="13.5">
      <c r="B2816" s="30"/>
      <c r="C2816" s="30"/>
      <c r="D2816" s="31"/>
      <c r="E2816" s="35"/>
      <c r="F2816" s="130"/>
      <c r="G2816" s="14"/>
      <c r="H2816" s="14"/>
      <c r="I2816" s="14"/>
      <c r="J2816" s="14"/>
      <c r="K2816" s="14"/>
      <c r="L2816" s="14"/>
      <c r="M2816" s="14"/>
    </row>
    <row r="2817" spans="2:13" s="7" customFormat="1" ht="13.5">
      <c r="B2817" s="30"/>
      <c r="C2817" s="30"/>
      <c r="D2817" s="31"/>
      <c r="E2817" s="35"/>
      <c r="F2817" s="130"/>
      <c r="G2817" s="14"/>
      <c r="H2817" s="14"/>
      <c r="I2817" s="14"/>
      <c r="J2817" s="14"/>
      <c r="K2817" s="14"/>
      <c r="L2817" s="14"/>
      <c r="M2817" s="14"/>
    </row>
    <row r="2818" spans="2:13" s="7" customFormat="1" ht="13.5">
      <c r="B2818" s="30"/>
      <c r="C2818" s="30"/>
      <c r="D2818" s="31"/>
      <c r="E2818" s="35"/>
      <c r="F2818" s="130"/>
      <c r="G2818" s="14"/>
      <c r="H2818" s="14"/>
      <c r="I2818" s="14"/>
      <c r="J2818" s="14"/>
      <c r="K2818" s="14"/>
      <c r="L2818" s="14"/>
      <c r="M2818" s="14"/>
    </row>
    <row r="2819" spans="2:13" s="7" customFormat="1" ht="13.5">
      <c r="B2819" s="30"/>
      <c r="C2819" s="30"/>
      <c r="D2819" s="31"/>
      <c r="E2819" s="35"/>
      <c r="F2819" s="130"/>
      <c r="G2819" s="14"/>
      <c r="H2819" s="14"/>
      <c r="I2819" s="14"/>
      <c r="J2819" s="14"/>
      <c r="K2819" s="14"/>
      <c r="L2819" s="14"/>
      <c r="M2819" s="14"/>
    </row>
    <row r="2820" spans="2:13" s="7" customFormat="1" ht="13.5">
      <c r="B2820" s="30"/>
      <c r="C2820" s="30"/>
      <c r="D2820" s="31"/>
      <c r="E2820" s="35"/>
      <c r="F2820" s="130"/>
      <c r="G2820" s="14"/>
      <c r="H2820" s="14"/>
      <c r="I2820" s="14"/>
      <c r="J2820" s="14"/>
      <c r="K2820" s="14"/>
      <c r="L2820" s="14"/>
      <c r="M2820" s="14"/>
    </row>
    <row r="2821" spans="2:13" s="7" customFormat="1" ht="13.5">
      <c r="B2821" s="30"/>
      <c r="C2821" s="30"/>
      <c r="D2821" s="31"/>
      <c r="E2821" s="35"/>
      <c r="F2821" s="130"/>
      <c r="G2821" s="14"/>
      <c r="H2821" s="14"/>
      <c r="I2821" s="14"/>
      <c r="J2821" s="14"/>
      <c r="K2821" s="14"/>
      <c r="L2821" s="14"/>
      <c r="M2821" s="14"/>
    </row>
    <row r="2822" spans="2:13" s="7" customFormat="1" ht="13.5">
      <c r="B2822" s="30"/>
      <c r="C2822" s="30"/>
      <c r="D2822" s="31"/>
      <c r="E2822" s="35"/>
      <c r="F2822" s="130"/>
      <c r="G2822" s="14"/>
      <c r="H2822" s="14"/>
      <c r="I2822" s="14"/>
      <c r="J2822" s="14"/>
      <c r="K2822" s="14"/>
      <c r="L2822" s="14"/>
      <c r="M2822" s="14"/>
    </row>
    <row r="2823" spans="2:13" s="7" customFormat="1" ht="13.5">
      <c r="B2823" s="30"/>
      <c r="C2823" s="30"/>
      <c r="D2823" s="31"/>
      <c r="E2823" s="35"/>
      <c r="F2823" s="130"/>
      <c r="G2823" s="14"/>
      <c r="H2823" s="14"/>
      <c r="I2823" s="14"/>
      <c r="J2823" s="14"/>
      <c r="K2823" s="14"/>
      <c r="L2823" s="14"/>
      <c r="M2823" s="14"/>
    </row>
    <row r="2824" spans="2:13" s="7" customFormat="1" ht="13.5">
      <c r="B2824" s="30"/>
      <c r="C2824" s="30"/>
      <c r="D2824" s="31"/>
      <c r="E2824" s="35"/>
      <c r="F2824" s="130"/>
      <c r="G2824" s="14"/>
      <c r="H2824" s="14"/>
      <c r="I2824" s="14"/>
      <c r="J2824" s="14"/>
      <c r="K2824" s="14"/>
      <c r="L2824" s="14"/>
      <c r="M2824" s="14"/>
    </row>
    <row r="2825" spans="2:13" s="7" customFormat="1" ht="13.5">
      <c r="B2825" s="30"/>
      <c r="C2825" s="30"/>
      <c r="D2825" s="31"/>
      <c r="E2825" s="35"/>
      <c r="F2825" s="130"/>
      <c r="G2825" s="14"/>
      <c r="H2825" s="14"/>
      <c r="I2825" s="14"/>
      <c r="J2825" s="14"/>
      <c r="K2825" s="14"/>
      <c r="L2825" s="14"/>
      <c r="M2825" s="14"/>
    </row>
    <row r="2826" spans="2:13" s="7" customFormat="1" ht="13.5">
      <c r="B2826" s="30"/>
      <c r="C2826" s="30"/>
      <c r="D2826" s="31"/>
      <c r="E2826" s="35"/>
      <c r="F2826" s="130"/>
      <c r="G2826" s="14"/>
      <c r="H2826" s="14"/>
      <c r="I2826" s="14"/>
      <c r="J2826" s="14"/>
      <c r="K2826" s="14"/>
      <c r="L2826" s="14"/>
      <c r="M2826" s="14"/>
    </row>
    <row r="2827" spans="2:13" s="7" customFormat="1" ht="13.5">
      <c r="B2827" s="30"/>
      <c r="C2827" s="30"/>
      <c r="D2827" s="31"/>
      <c r="E2827" s="35"/>
      <c r="F2827" s="130"/>
      <c r="G2827" s="14"/>
      <c r="H2827" s="14"/>
      <c r="I2827" s="14"/>
      <c r="J2827" s="14"/>
      <c r="K2827" s="14"/>
      <c r="L2827" s="14"/>
      <c r="M2827" s="14"/>
    </row>
    <row r="2828" spans="2:13" s="7" customFormat="1" ht="13.5">
      <c r="B2828" s="30"/>
      <c r="C2828" s="30"/>
      <c r="D2828" s="31"/>
      <c r="E2828" s="35"/>
      <c r="F2828" s="130"/>
      <c r="G2828" s="14"/>
      <c r="H2828" s="14"/>
      <c r="I2828" s="14"/>
      <c r="J2828" s="14"/>
      <c r="K2828" s="14"/>
      <c r="L2828" s="14"/>
      <c r="M2828" s="14"/>
    </row>
    <row r="2829" spans="2:13" s="7" customFormat="1" ht="13.5">
      <c r="B2829" s="30"/>
      <c r="C2829" s="30"/>
      <c r="D2829" s="31"/>
      <c r="E2829" s="35"/>
      <c r="F2829" s="130"/>
      <c r="G2829" s="14"/>
      <c r="H2829" s="14"/>
      <c r="I2829" s="14"/>
      <c r="J2829" s="14"/>
      <c r="K2829" s="14"/>
      <c r="L2829" s="14"/>
      <c r="M2829" s="14"/>
    </row>
    <row r="2830" spans="2:13" s="7" customFormat="1" ht="13.5">
      <c r="B2830" s="30"/>
      <c r="C2830" s="30"/>
      <c r="D2830" s="31"/>
      <c r="E2830" s="35"/>
      <c r="F2830" s="130"/>
      <c r="G2830" s="14"/>
      <c r="H2830" s="14"/>
      <c r="I2830" s="14"/>
      <c r="J2830" s="14"/>
      <c r="K2830" s="14"/>
      <c r="L2830" s="14"/>
      <c r="M2830" s="14"/>
    </row>
    <row r="2831" spans="2:13" s="7" customFormat="1" ht="13.5">
      <c r="B2831" s="30"/>
      <c r="C2831" s="30"/>
      <c r="D2831" s="31"/>
      <c r="E2831" s="35"/>
      <c r="F2831" s="130"/>
      <c r="G2831" s="14"/>
      <c r="H2831" s="14"/>
      <c r="I2831" s="14"/>
      <c r="J2831" s="14"/>
      <c r="K2831" s="14"/>
      <c r="L2831" s="14"/>
      <c r="M2831" s="14"/>
    </row>
    <row r="2832" spans="2:13" s="7" customFormat="1" ht="13.5">
      <c r="B2832" s="30"/>
      <c r="C2832" s="30"/>
      <c r="D2832" s="31"/>
      <c r="E2832" s="35"/>
      <c r="F2832" s="130"/>
      <c r="G2832" s="14"/>
      <c r="H2832" s="14"/>
      <c r="I2832" s="14"/>
      <c r="J2832" s="14"/>
      <c r="K2832" s="14"/>
      <c r="L2832" s="14"/>
      <c r="M2832" s="14"/>
    </row>
    <row r="2833" spans="2:13" s="7" customFormat="1" ht="13.5">
      <c r="B2833" s="30"/>
      <c r="C2833" s="30"/>
      <c r="D2833" s="31"/>
      <c r="E2833" s="35"/>
      <c r="F2833" s="130"/>
      <c r="G2833" s="14"/>
      <c r="H2833" s="14"/>
      <c r="I2833" s="14"/>
      <c r="J2833" s="14"/>
      <c r="K2833" s="14"/>
      <c r="L2833" s="14"/>
      <c r="M2833" s="14"/>
    </row>
    <row r="2834" spans="2:13" s="7" customFormat="1" ht="13.5">
      <c r="B2834" s="30"/>
      <c r="C2834" s="30"/>
      <c r="D2834" s="31"/>
      <c r="E2834" s="35"/>
      <c r="F2834" s="130"/>
      <c r="G2834" s="14"/>
      <c r="H2834" s="14"/>
      <c r="I2834" s="14"/>
      <c r="J2834" s="14"/>
      <c r="K2834" s="14"/>
      <c r="L2834" s="14"/>
      <c r="M2834" s="14"/>
    </row>
    <row r="2835" spans="2:13" s="7" customFormat="1" ht="13.5">
      <c r="B2835" s="30"/>
      <c r="C2835" s="30"/>
      <c r="D2835" s="31"/>
      <c r="E2835" s="35"/>
      <c r="F2835" s="130"/>
      <c r="G2835" s="14"/>
      <c r="H2835" s="14"/>
      <c r="I2835" s="14"/>
      <c r="J2835" s="14"/>
      <c r="K2835" s="14"/>
      <c r="L2835" s="14"/>
      <c r="M2835" s="14"/>
    </row>
    <row r="2836" spans="2:13" s="7" customFormat="1" ht="13.5">
      <c r="B2836" s="30"/>
      <c r="C2836" s="30"/>
      <c r="D2836" s="31"/>
      <c r="E2836" s="35"/>
      <c r="F2836" s="130"/>
      <c r="G2836" s="14"/>
      <c r="H2836" s="14"/>
      <c r="I2836" s="14"/>
      <c r="J2836" s="14"/>
      <c r="K2836" s="14"/>
      <c r="L2836" s="14"/>
      <c r="M2836" s="14"/>
    </row>
    <row r="2837" spans="2:13" s="7" customFormat="1" ht="13.5">
      <c r="B2837" s="30"/>
      <c r="C2837" s="30"/>
      <c r="D2837" s="31"/>
      <c r="E2837" s="35"/>
      <c r="F2837" s="130"/>
      <c r="G2837" s="14"/>
      <c r="H2837" s="14"/>
      <c r="I2837" s="14"/>
      <c r="J2837" s="14"/>
      <c r="K2837" s="14"/>
      <c r="L2837" s="14"/>
      <c r="M2837" s="14"/>
    </row>
    <row r="2838" spans="2:13" s="7" customFormat="1" ht="13.5">
      <c r="B2838" s="30"/>
      <c r="C2838" s="30"/>
      <c r="D2838" s="31"/>
      <c r="E2838" s="35"/>
      <c r="F2838" s="130"/>
      <c r="G2838" s="14"/>
      <c r="H2838" s="14"/>
      <c r="I2838" s="14"/>
      <c r="J2838" s="14"/>
      <c r="K2838" s="14"/>
      <c r="L2838" s="14"/>
      <c r="M2838" s="14"/>
    </row>
    <row r="2839" spans="2:13" s="7" customFormat="1" ht="13.5">
      <c r="B2839" s="30"/>
      <c r="C2839" s="30"/>
      <c r="D2839" s="31"/>
      <c r="E2839" s="35"/>
      <c r="F2839" s="130"/>
      <c r="G2839" s="14"/>
      <c r="H2839" s="14"/>
      <c r="I2839" s="14"/>
      <c r="J2839" s="14"/>
      <c r="K2839" s="14"/>
      <c r="L2839" s="14"/>
      <c r="M2839" s="14"/>
    </row>
    <row r="2840" spans="2:13" s="7" customFormat="1" ht="13.5">
      <c r="B2840" s="30"/>
      <c r="C2840" s="30"/>
      <c r="D2840" s="31"/>
      <c r="E2840" s="35"/>
      <c r="F2840" s="130"/>
      <c r="G2840" s="14"/>
      <c r="H2840" s="14"/>
      <c r="I2840" s="14"/>
      <c r="J2840" s="14"/>
      <c r="K2840" s="14"/>
      <c r="L2840" s="14"/>
      <c r="M2840" s="14"/>
    </row>
    <row r="2841" spans="2:13" s="7" customFormat="1" ht="13.5">
      <c r="B2841" s="30"/>
      <c r="C2841" s="30"/>
      <c r="D2841" s="31"/>
      <c r="E2841" s="35"/>
      <c r="F2841" s="130"/>
      <c r="G2841" s="14"/>
      <c r="H2841" s="14"/>
      <c r="I2841" s="14"/>
      <c r="J2841" s="14"/>
      <c r="K2841" s="14"/>
      <c r="L2841" s="14"/>
      <c r="M2841" s="14"/>
    </row>
    <row r="2842" spans="2:13" s="7" customFormat="1" ht="13.5">
      <c r="B2842" s="30"/>
      <c r="C2842" s="30"/>
      <c r="D2842" s="31"/>
      <c r="E2842" s="35"/>
      <c r="F2842" s="130"/>
      <c r="G2842" s="14"/>
      <c r="H2842" s="14"/>
      <c r="I2842" s="14"/>
      <c r="J2842" s="14"/>
      <c r="K2842" s="14"/>
      <c r="L2842" s="14"/>
      <c r="M2842" s="14"/>
    </row>
    <row r="2843" spans="2:13" s="7" customFormat="1" ht="13.5">
      <c r="B2843" s="30"/>
      <c r="C2843" s="30"/>
      <c r="D2843" s="31"/>
      <c r="E2843" s="35"/>
      <c r="F2843" s="130"/>
      <c r="G2843" s="14"/>
      <c r="H2843" s="14"/>
      <c r="I2843" s="14"/>
      <c r="J2843" s="14"/>
      <c r="K2843" s="14"/>
      <c r="L2843" s="14"/>
      <c r="M2843" s="14"/>
    </row>
    <row r="2844" spans="2:13" s="7" customFormat="1" ht="13.5">
      <c r="B2844" s="30"/>
      <c r="C2844" s="30"/>
      <c r="D2844" s="31"/>
      <c r="E2844" s="35"/>
      <c r="F2844" s="130"/>
      <c r="G2844" s="14"/>
      <c r="H2844" s="14"/>
      <c r="I2844" s="14"/>
      <c r="J2844" s="14"/>
      <c r="K2844" s="14"/>
      <c r="L2844" s="14"/>
      <c r="M2844" s="14"/>
    </row>
    <row r="2845" spans="2:13" s="7" customFormat="1" ht="13.5">
      <c r="B2845" s="30"/>
      <c r="C2845" s="30"/>
      <c r="D2845" s="31"/>
      <c r="E2845" s="35"/>
      <c r="F2845" s="130"/>
      <c r="G2845" s="14"/>
      <c r="H2845" s="14"/>
      <c r="I2845" s="14"/>
      <c r="J2845" s="14"/>
      <c r="K2845" s="14"/>
      <c r="L2845" s="14"/>
      <c r="M2845" s="14"/>
    </row>
    <row r="2846" spans="2:13" s="7" customFormat="1" ht="13.5">
      <c r="B2846" s="30"/>
      <c r="C2846" s="30"/>
      <c r="D2846" s="31"/>
      <c r="E2846" s="35"/>
      <c r="F2846" s="130"/>
      <c r="G2846" s="14"/>
      <c r="H2846" s="14"/>
      <c r="I2846" s="14"/>
      <c r="J2846" s="14"/>
      <c r="K2846" s="14"/>
      <c r="L2846" s="14"/>
      <c r="M2846" s="14"/>
    </row>
    <row r="2847" spans="2:13" s="7" customFormat="1" ht="13.5">
      <c r="B2847" s="30"/>
      <c r="C2847" s="30"/>
      <c r="D2847" s="31"/>
      <c r="E2847" s="35"/>
      <c r="F2847" s="130"/>
      <c r="G2847" s="14"/>
      <c r="H2847" s="14"/>
      <c r="I2847" s="14"/>
      <c r="J2847" s="14"/>
      <c r="K2847" s="14"/>
      <c r="L2847" s="14"/>
      <c r="M2847" s="14"/>
    </row>
    <row r="2848" spans="2:13" s="7" customFormat="1" ht="13.5">
      <c r="B2848" s="30"/>
      <c r="C2848" s="30"/>
      <c r="D2848" s="31"/>
      <c r="E2848" s="35"/>
      <c r="F2848" s="130"/>
      <c r="G2848" s="14"/>
      <c r="H2848" s="14"/>
      <c r="I2848" s="14"/>
      <c r="J2848" s="14"/>
      <c r="K2848" s="14"/>
      <c r="L2848" s="14"/>
      <c r="M2848" s="14"/>
    </row>
    <row r="2849" spans="2:13" s="7" customFormat="1" ht="13.5">
      <c r="B2849" s="30"/>
      <c r="C2849" s="30"/>
      <c r="D2849" s="31"/>
      <c r="E2849" s="35"/>
      <c r="F2849" s="130"/>
      <c r="G2849" s="14"/>
      <c r="H2849" s="14"/>
      <c r="I2849" s="14"/>
      <c r="J2849" s="14"/>
      <c r="K2849" s="14"/>
      <c r="L2849" s="14"/>
      <c r="M2849" s="14"/>
    </row>
    <row r="2850" spans="2:13" s="7" customFormat="1" ht="13.5">
      <c r="B2850" s="30"/>
      <c r="C2850" s="30"/>
      <c r="D2850" s="31"/>
      <c r="E2850" s="35"/>
      <c r="F2850" s="130"/>
      <c r="G2850" s="14"/>
      <c r="H2850" s="14"/>
      <c r="I2850" s="14"/>
      <c r="J2850" s="14"/>
      <c r="K2850" s="14"/>
      <c r="L2850" s="14"/>
      <c r="M2850" s="14"/>
    </row>
    <row r="2851" spans="2:13" s="7" customFormat="1" ht="13.5">
      <c r="B2851" s="30"/>
      <c r="C2851" s="30"/>
      <c r="D2851" s="31"/>
      <c r="E2851" s="35"/>
      <c r="F2851" s="130"/>
      <c r="G2851" s="14"/>
      <c r="H2851" s="14"/>
      <c r="I2851" s="14"/>
      <c r="J2851" s="14"/>
      <c r="K2851" s="14"/>
      <c r="L2851" s="14"/>
      <c r="M2851" s="14"/>
    </row>
    <row r="2852" spans="2:13" s="7" customFormat="1" ht="13.5">
      <c r="B2852" s="30"/>
      <c r="C2852" s="30"/>
      <c r="D2852" s="31"/>
      <c r="E2852" s="35"/>
      <c r="F2852" s="130"/>
      <c r="G2852" s="14"/>
      <c r="H2852" s="14"/>
      <c r="I2852" s="14"/>
      <c r="J2852" s="14"/>
      <c r="K2852" s="14"/>
      <c r="L2852" s="14"/>
      <c r="M2852" s="14"/>
    </row>
    <row r="2853" spans="2:13" s="7" customFormat="1" ht="13.5">
      <c r="B2853" s="30"/>
      <c r="C2853" s="30"/>
      <c r="D2853" s="31"/>
      <c r="E2853" s="35"/>
      <c r="F2853" s="130"/>
      <c r="G2853" s="14"/>
      <c r="H2853" s="14"/>
      <c r="I2853" s="14"/>
      <c r="J2853" s="14"/>
      <c r="K2853" s="14"/>
      <c r="L2853" s="14"/>
      <c r="M2853" s="14"/>
    </row>
    <row r="2854" spans="2:13" s="7" customFormat="1" ht="13.5">
      <c r="B2854" s="30"/>
      <c r="C2854" s="30"/>
      <c r="D2854" s="31"/>
      <c r="E2854" s="35"/>
      <c r="F2854" s="130"/>
      <c r="G2854" s="14"/>
      <c r="H2854" s="14"/>
      <c r="I2854" s="14"/>
      <c r="J2854" s="14"/>
      <c r="K2854" s="14"/>
      <c r="L2854" s="14"/>
      <c r="M2854" s="14"/>
    </row>
    <row r="2855" spans="2:13" s="7" customFormat="1" ht="13.5">
      <c r="B2855" s="30"/>
      <c r="C2855" s="30"/>
      <c r="D2855" s="31"/>
      <c r="E2855" s="35"/>
      <c r="F2855" s="130"/>
      <c r="G2855" s="14"/>
      <c r="H2855" s="14"/>
      <c r="I2855" s="14"/>
      <c r="J2855" s="14"/>
      <c r="K2855" s="14"/>
      <c r="L2855" s="14"/>
      <c r="M2855" s="14"/>
    </row>
    <row r="2856" spans="2:13" s="7" customFormat="1" ht="13.5">
      <c r="B2856" s="30"/>
      <c r="C2856" s="30"/>
      <c r="D2856" s="31"/>
      <c r="E2856" s="35"/>
      <c r="F2856" s="130"/>
      <c r="G2856" s="14"/>
      <c r="H2856" s="14"/>
      <c r="I2856" s="14"/>
      <c r="J2856" s="14"/>
      <c r="K2856" s="14"/>
      <c r="L2856" s="14"/>
      <c r="M2856" s="14"/>
    </row>
    <row r="2857" spans="2:13" s="7" customFormat="1" ht="13.5">
      <c r="B2857" s="30"/>
      <c r="C2857" s="30"/>
      <c r="D2857" s="31"/>
      <c r="E2857" s="35"/>
      <c r="F2857" s="130"/>
      <c r="G2857" s="14"/>
      <c r="H2857" s="14"/>
      <c r="I2857" s="14"/>
      <c r="J2857" s="14"/>
      <c r="K2857" s="14"/>
      <c r="L2857" s="14"/>
      <c r="M2857" s="14"/>
    </row>
    <row r="2858" spans="2:13" s="7" customFormat="1" ht="13.5">
      <c r="B2858" s="30"/>
      <c r="C2858" s="30"/>
      <c r="D2858" s="31"/>
      <c r="E2858" s="35"/>
      <c r="F2858" s="130"/>
      <c r="G2858" s="14"/>
      <c r="H2858" s="14"/>
      <c r="I2858" s="14"/>
      <c r="J2858" s="14"/>
      <c r="K2858" s="14"/>
      <c r="L2858" s="14"/>
      <c r="M2858" s="14"/>
    </row>
    <row r="2859" spans="2:13" s="7" customFormat="1" ht="13.5">
      <c r="B2859" s="30"/>
      <c r="C2859" s="30"/>
      <c r="D2859" s="31"/>
      <c r="E2859" s="35"/>
      <c r="F2859" s="130"/>
      <c r="G2859" s="14"/>
      <c r="H2859" s="14"/>
      <c r="I2859" s="14"/>
      <c r="J2859" s="14"/>
      <c r="K2859" s="14"/>
      <c r="L2859" s="14"/>
      <c r="M2859" s="14"/>
    </row>
    <row r="2860" spans="2:13" s="7" customFormat="1" ht="13.5">
      <c r="B2860" s="30"/>
      <c r="C2860" s="30"/>
      <c r="D2860" s="31"/>
      <c r="E2860" s="35"/>
      <c r="F2860" s="130"/>
      <c r="G2860" s="14"/>
      <c r="H2860" s="14"/>
      <c r="I2860" s="14"/>
      <c r="J2860" s="14"/>
      <c r="K2860" s="14"/>
      <c r="L2860" s="14"/>
      <c r="M2860" s="14"/>
    </row>
    <row r="2861" spans="2:13" s="7" customFormat="1" ht="13.5">
      <c r="B2861" s="30"/>
      <c r="C2861" s="30"/>
      <c r="D2861" s="31"/>
      <c r="E2861" s="35"/>
      <c r="F2861" s="130"/>
      <c r="G2861" s="14"/>
      <c r="H2861" s="14"/>
      <c r="I2861" s="14"/>
      <c r="J2861" s="14"/>
      <c r="K2861" s="14"/>
      <c r="L2861" s="14"/>
      <c r="M2861" s="14"/>
    </row>
    <row r="2862" spans="2:13" s="7" customFormat="1" ht="13.5">
      <c r="B2862" s="30"/>
      <c r="C2862" s="30"/>
      <c r="D2862" s="31"/>
      <c r="E2862" s="35"/>
      <c r="F2862" s="130"/>
      <c r="G2862" s="14"/>
      <c r="H2862" s="14"/>
      <c r="I2862" s="14"/>
      <c r="J2862" s="14"/>
      <c r="K2862" s="14"/>
      <c r="L2862" s="14"/>
      <c r="M2862" s="14"/>
    </row>
    <row r="2863" spans="2:13" s="7" customFormat="1" ht="13.5">
      <c r="B2863" s="30"/>
      <c r="C2863" s="30"/>
      <c r="D2863" s="31"/>
      <c r="E2863" s="35"/>
      <c r="F2863" s="130"/>
      <c r="G2863" s="14"/>
      <c r="H2863" s="14"/>
      <c r="I2863" s="14"/>
      <c r="J2863" s="14"/>
      <c r="K2863" s="14"/>
      <c r="L2863" s="14"/>
      <c r="M2863" s="14"/>
    </row>
    <row r="2864" spans="2:13" s="7" customFormat="1" ht="13.5">
      <c r="B2864" s="30"/>
      <c r="C2864" s="30"/>
      <c r="D2864" s="31"/>
      <c r="E2864" s="35"/>
      <c r="F2864" s="130"/>
      <c r="G2864" s="14"/>
      <c r="H2864" s="14"/>
      <c r="I2864" s="14"/>
      <c r="J2864" s="14"/>
      <c r="K2864" s="14"/>
      <c r="L2864" s="14"/>
      <c r="M2864" s="14"/>
    </row>
    <row r="2865" spans="2:13" s="7" customFormat="1" ht="13.5">
      <c r="B2865" s="30"/>
      <c r="C2865" s="30"/>
      <c r="D2865" s="31"/>
      <c r="E2865" s="35"/>
      <c r="F2865" s="130"/>
      <c r="G2865" s="14"/>
      <c r="H2865" s="14"/>
      <c r="I2865" s="14"/>
      <c r="J2865" s="14"/>
      <c r="K2865" s="14"/>
      <c r="L2865" s="14"/>
      <c r="M2865" s="14"/>
    </row>
    <row r="2866" spans="2:13" s="7" customFormat="1" ht="13.5">
      <c r="B2866" s="30"/>
      <c r="C2866" s="30"/>
      <c r="D2866" s="31"/>
      <c r="E2866" s="35"/>
      <c r="F2866" s="130"/>
      <c r="G2866" s="14"/>
      <c r="H2866" s="14"/>
      <c r="I2866" s="14"/>
      <c r="J2866" s="14"/>
      <c r="K2866" s="14"/>
      <c r="L2866" s="14"/>
      <c r="M2866" s="14"/>
    </row>
    <row r="2867" spans="2:13" s="7" customFormat="1" ht="13.5">
      <c r="B2867" s="30"/>
      <c r="C2867" s="30"/>
      <c r="D2867" s="31"/>
      <c r="E2867" s="35"/>
      <c r="F2867" s="130"/>
      <c r="G2867" s="14"/>
      <c r="H2867" s="14"/>
      <c r="I2867" s="14"/>
      <c r="J2867" s="14"/>
      <c r="K2867" s="14"/>
      <c r="L2867" s="14"/>
      <c r="M2867" s="14"/>
    </row>
    <row r="2868" spans="2:13" s="7" customFormat="1" ht="13.5">
      <c r="B2868" s="30"/>
      <c r="C2868" s="30"/>
      <c r="D2868" s="31"/>
      <c r="E2868" s="35"/>
      <c r="F2868" s="130"/>
      <c r="G2868" s="14"/>
      <c r="H2868" s="14"/>
      <c r="I2868" s="14"/>
      <c r="J2868" s="14"/>
      <c r="K2868" s="14"/>
      <c r="L2868" s="14"/>
      <c r="M2868" s="14"/>
    </row>
    <row r="2869" spans="2:13" s="7" customFormat="1" ht="13.5">
      <c r="B2869" s="30"/>
      <c r="C2869" s="30"/>
      <c r="D2869" s="31"/>
      <c r="E2869" s="35"/>
      <c r="F2869" s="130"/>
      <c r="G2869" s="14"/>
      <c r="H2869" s="14"/>
      <c r="I2869" s="14"/>
      <c r="J2869" s="14"/>
      <c r="K2869" s="14"/>
      <c r="L2869" s="14"/>
      <c r="M2869" s="14"/>
    </row>
    <row r="2870" spans="2:13" s="7" customFormat="1" ht="13.5">
      <c r="B2870" s="30"/>
      <c r="C2870" s="30"/>
      <c r="D2870" s="31"/>
      <c r="E2870" s="35"/>
      <c r="F2870" s="130"/>
      <c r="G2870" s="14"/>
      <c r="H2870" s="14"/>
      <c r="I2870" s="14"/>
      <c r="J2870" s="14"/>
      <c r="K2870" s="14"/>
      <c r="L2870" s="14"/>
      <c r="M2870" s="14"/>
    </row>
    <row r="2871" spans="2:13" s="7" customFormat="1" ht="13.5">
      <c r="B2871" s="30"/>
      <c r="C2871" s="30"/>
      <c r="D2871" s="31"/>
      <c r="E2871" s="35"/>
      <c r="F2871" s="130"/>
      <c r="G2871" s="14"/>
      <c r="H2871" s="14"/>
      <c r="I2871" s="14"/>
      <c r="J2871" s="14"/>
      <c r="K2871" s="14"/>
      <c r="L2871" s="14"/>
      <c r="M2871" s="14"/>
    </row>
    <row r="2872" spans="2:13" s="7" customFormat="1" ht="13.5">
      <c r="B2872" s="30"/>
      <c r="C2872" s="30"/>
      <c r="D2872" s="31"/>
      <c r="E2872" s="35"/>
      <c r="F2872" s="130"/>
      <c r="G2872" s="14"/>
      <c r="H2872" s="14"/>
      <c r="I2872" s="14"/>
      <c r="J2872" s="14"/>
      <c r="K2872" s="14"/>
      <c r="L2872" s="14"/>
      <c r="M2872" s="14"/>
    </row>
    <row r="2873" spans="2:13" s="7" customFormat="1" ht="13.5">
      <c r="B2873" s="30"/>
      <c r="C2873" s="30"/>
      <c r="D2873" s="31"/>
      <c r="E2873" s="35"/>
      <c r="F2873" s="130"/>
      <c r="G2873" s="14"/>
      <c r="H2873" s="14"/>
      <c r="I2873" s="14"/>
      <c r="J2873" s="14"/>
      <c r="K2873" s="14"/>
      <c r="L2873" s="14"/>
      <c r="M2873" s="14"/>
    </row>
    <row r="2874" spans="2:13" s="7" customFormat="1" ht="13.5">
      <c r="B2874" s="30"/>
      <c r="C2874" s="30"/>
      <c r="D2874" s="31"/>
      <c r="E2874" s="35"/>
      <c r="F2874" s="130"/>
      <c r="G2874" s="14"/>
      <c r="H2874" s="14"/>
      <c r="I2874" s="14"/>
      <c r="J2874" s="14"/>
      <c r="K2874" s="14"/>
      <c r="L2874" s="14"/>
      <c r="M2874" s="14"/>
    </row>
    <row r="2875" spans="2:13" s="7" customFormat="1" ht="13.5">
      <c r="B2875" s="30"/>
      <c r="C2875" s="30"/>
      <c r="D2875" s="31"/>
      <c r="E2875" s="35"/>
      <c r="F2875" s="130"/>
      <c r="G2875" s="14"/>
      <c r="H2875" s="14"/>
      <c r="I2875" s="14"/>
      <c r="J2875" s="14"/>
      <c r="K2875" s="14"/>
      <c r="L2875" s="14"/>
      <c r="M2875" s="14"/>
    </row>
    <row r="2876" spans="2:13" s="7" customFormat="1" ht="13.5">
      <c r="B2876" s="30"/>
      <c r="C2876" s="30"/>
      <c r="D2876" s="31"/>
      <c r="E2876" s="35"/>
      <c r="F2876" s="130"/>
      <c r="G2876" s="14"/>
      <c r="H2876" s="14"/>
      <c r="I2876" s="14"/>
      <c r="J2876" s="14"/>
      <c r="K2876" s="14"/>
      <c r="L2876" s="14"/>
      <c r="M2876" s="14"/>
    </row>
    <row r="2877" spans="2:13" s="7" customFormat="1" ht="13.5">
      <c r="B2877" s="30"/>
      <c r="C2877" s="30"/>
      <c r="D2877" s="31"/>
      <c r="E2877" s="35"/>
      <c r="F2877" s="130"/>
      <c r="G2877" s="14"/>
      <c r="H2877" s="14"/>
      <c r="I2877" s="14"/>
      <c r="J2877" s="14"/>
      <c r="K2877" s="14"/>
      <c r="L2877" s="14"/>
      <c r="M2877" s="14"/>
    </row>
    <row r="2878" spans="2:13" s="7" customFormat="1" ht="13.5">
      <c r="B2878" s="30"/>
      <c r="C2878" s="30"/>
      <c r="D2878" s="31"/>
      <c r="E2878" s="35"/>
      <c r="F2878" s="130"/>
      <c r="G2878" s="14"/>
      <c r="H2878" s="14"/>
      <c r="I2878" s="14"/>
      <c r="J2878" s="14"/>
      <c r="K2878" s="14"/>
      <c r="L2878" s="14"/>
      <c r="M2878" s="14"/>
    </row>
    <row r="2879" spans="2:13" s="7" customFormat="1" ht="13.5">
      <c r="B2879" s="30"/>
      <c r="C2879" s="30"/>
      <c r="D2879" s="31"/>
      <c r="E2879" s="35"/>
      <c r="F2879" s="130"/>
      <c r="G2879" s="14"/>
      <c r="H2879" s="14"/>
      <c r="I2879" s="14"/>
      <c r="J2879" s="14"/>
      <c r="K2879" s="14"/>
      <c r="L2879" s="14"/>
      <c r="M2879" s="14"/>
    </row>
    <row r="2880" spans="2:13" s="7" customFormat="1" ht="13.5">
      <c r="B2880" s="30"/>
      <c r="C2880" s="30"/>
      <c r="D2880" s="31"/>
      <c r="E2880" s="35"/>
      <c r="F2880" s="130"/>
      <c r="G2880" s="14"/>
      <c r="H2880" s="14"/>
      <c r="I2880" s="14"/>
      <c r="J2880" s="14"/>
      <c r="K2880" s="14"/>
      <c r="L2880" s="14"/>
      <c r="M2880" s="14"/>
    </row>
    <row r="2881" spans="2:13" s="7" customFormat="1" ht="13.5">
      <c r="B2881" s="30"/>
      <c r="C2881" s="30"/>
      <c r="D2881" s="31"/>
      <c r="E2881" s="35"/>
      <c r="F2881" s="130"/>
      <c r="G2881" s="14"/>
      <c r="H2881" s="14"/>
      <c r="I2881" s="14"/>
      <c r="J2881" s="14"/>
      <c r="K2881" s="14"/>
      <c r="L2881" s="14"/>
      <c r="M2881" s="14"/>
    </row>
    <row r="2882" spans="2:13" s="7" customFormat="1" ht="13.5">
      <c r="B2882" s="30"/>
      <c r="C2882" s="30"/>
      <c r="D2882" s="31"/>
      <c r="E2882" s="35"/>
      <c r="F2882" s="130"/>
      <c r="G2882" s="14"/>
      <c r="H2882" s="14"/>
      <c r="I2882" s="14"/>
      <c r="J2882" s="14"/>
      <c r="K2882" s="14"/>
      <c r="L2882" s="14"/>
      <c r="M2882" s="14"/>
    </row>
    <row r="2883" spans="2:13" s="7" customFormat="1" ht="13.5">
      <c r="B2883" s="30"/>
      <c r="C2883" s="30"/>
      <c r="D2883" s="31"/>
      <c r="E2883" s="35"/>
      <c r="F2883" s="130"/>
      <c r="G2883" s="14"/>
      <c r="H2883" s="14"/>
      <c r="I2883" s="14"/>
      <c r="J2883" s="14"/>
      <c r="K2883" s="14"/>
      <c r="L2883" s="14"/>
      <c r="M2883" s="14"/>
    </row>
    <row r="2884" spans="2:13" s="7" customFormat="1" ht="13.5">
      <c r="B2884" s="30"/>
      <c r="C2884" s="30"/>
      <c r="D2884" s="31"/>
      <c r="E2884" s="35"/>
      <c r="F2884" s="130"/>
      <c r="G2884" s="14"/>
      <c r="H2884" s="14"/>
      <c r="I2884" s="14"/>
      <c r="J2884" s="14"/>
      <c r="K2884" s="14"/>
      <c r="L2884" s="14"/>
      <c r="M2884" s="14"/>
    </row>
    <row r="2885" spans="2:13" s="7" customFormat="1" ht="13.5">
      <c r="B2885" s="30"/>
      <c r="C2885" s="30"/>
      <c r="D2885" s="31"/>
      <c r="E2885" s="35"/>
      <c r="F2885" s="130"/>
      <c r="G2885" s="14"/>
      <c r="H2885" s="14"/>
      <c r="I2885" s="14"/>
      <c r="J2885" s="14"/>
      <c r="K2885" s="14"/>
      <c r="L2885" s="14"/>
      <c r="M2885" s="14"/>
    </row>
    <row r="2886" spans="2:13" s="7" customFormat="1" ht="13.5">
      <c r="B2886" s="30"/>
      <c r="C2886" s="30"/>
      <c r="D2886" s="31"/>
      <c r="E2886" s="35"/>
      <c r="F2886" s="130"/>
      <c r="G2886" s="14"/>
      <c r="H2886" s="14"/>
      <c r="I2886" s="14"/>
      <c r="J2886" s="14"/>
      <c r="K2886" s="14"/>
      <c r="L2886" s="14"/>
      <c r="M2886" s="14"/>
    </row>
    <row r="2887" spans="2:13" s="7" customFormat="1" ht="13.5">
      <c r="B2887" s="30"/>
      <c r="C2887" s="30"/>
      <c r="D2887" s="31"/>
      <c r="E2887" s="35"/>
      <c r="F2887" s="130"/>
      <c r="G2887" s="14"/>
      <c r="H2887" s="14"/>
      <c r="I2887" s="14"/>
      <c r="J2887" s="14"/>
      <c r="K2887" s="14"/>
      <c r="L2887" s="14"/>
      <c r="M2887" s="14"/>
    </row>
    <row r="2888" spans="2:13" s="7" customFormat="1" ht="13.5">
      <c r="B2888" s="30"/>
      <c r="C2888" s="30"/>
      <c r="D2888" s="31"/>
      <c r="E2888" s="35"/>
      <c r="F2888" s="130"/>
      <c r="G2888" s="14"/>
      <c r="H2888" s="14"/>
      <c r="I2888" s="14"/>
      <c r="J2888" s="14"/>
      <c r="K2888" s="14"/>
      <c r="L2888" s="14"/>
      <c r="M2888" s="14"/>
    </row>
    <row r="2889" spans="2:13" s="7" customFormat="1" ht="13.5">
      <c r="B2889" s="30"/>
      <c r="C2889" s="30"/>
      <c r="D2889" s="31"/>
      <c r="E2889" s="35"/>
      <c r="F2889" s="130"/>
      <c r="G2889" s="14"/>
      <c r="H2889" s="14"/>
      <c r="I2889" s="14"/>
      <c r="J2889" s="14"/>
      <c r="K2889" s="14"/>
      <c r="L2889" s="14"/>
      <c r="M2889" s="14"/>
    </row>
    <row r="2890" spans="2:13" s="7" customFormat="1" ht="13.5">
      <c r="B2890" s="30"/>
      <c r="C2890" s="30"/>
      <c r="D2890" s="31"/>
      <c r="E2890" s="35"/>
      <c r="F2890" s="130"/>
      <c r="G2890" s="14"/>
      <c r="H2890" s="14"/>
      <c r="I2890" s="14"/>
      <c r="J2890" s="14"/>
      <c r="K2890" s="14"/>
      <c r="L2890" s="14"/>
      <c r="M2890" s="14"/>
    </row>
    <row r="2891" spans="2:13" s="7" customFormat="1" ht="13.5">
      <c r="B2891" s="30"/>
      <c r="C2891" s="30"/>
      <c r="D2891" s="31"/>
      <c r="E2891" s="35"/>
      <c r="F2891" s="130"/>
      <c r="G2891" s="14"/>
      <c r="H2891" s="14"/>
      <c r="I2891" s="14"/>
      <c r="J2891" s="14"/>
      <c r="K2891" s="14"/>
      <c r="L2891" s="14"/>
      <c r="M2891" s="14"/>
    </row>
    <row r="2892" spans="2:13" s="7" customFormat="1" ht="13.5">
      <c r="B2892" s="30"/>
      <c r="C2892" s="30"/>
      <c r="D2892" s="31"/>
      <c r="E2892" s="35"/>
      <c r="F2892" s="130"/>
      <c r="G2892" s="14"/>
      <c r="H2892" s="14"/>
      <c r="I2892" s="14"/>
      <c r="J2892" s="14"/>
      <c r="K2892" s="14"/>
      <c r="L2892" s="14"/>
      <c r="M2892" s="14"/>
    </row>
    <row r="2893" spans="2:13" s="7" customFormat="1" ht="13.5">
      <c r="B2893" s="30"/>
      <c r="C2893" s="30"/>
      <c r="D2893" s="31"/>
      <c r="E2893" s="35"/>
      <c r="F2893" s="130"/>
      <c r="G2893" s="14"/>
      <c r="H2893" s="14"/>
      <c r="I2893" s="14"/>
      <c r="J2893" s="14"/>
      <c r="K2893" s="14"/>
      <c r="L2893" s="14"/>
      <c r="M2893" s="14"/>
    </row>
    <row r="2894" spans="2:13" s="7" customFormat="1" ht="13.5">
      <c r="B2894" s="30"/>
      <c r="C2894" s="30"/>
      <c r="D2894" s="31"/>
      <c r="E2894" s="35"/>
      <c r="F2894" s="130"/>
      <c r="G2894" s="14"/>
      <c r="H2894" s="14"/>
      <c r="I2894" s="14"/>
      <c r="J2894" s="14"/>
      <c r="K2894" s="14"/>
      <c r="L2894" s="14"/>
      <c r="M2894" s="14"/>
    </row>
    <row r="2895" spans="2:13" s="7" customFormat="1" ht="13.5">
      <c r="B2895" s="30"/>
      <c r="C2895" s="30"/>
      <c r="D2895" s="31"/>
      <c r="E2895" s="35"/>
      <c r="F2895" s="130"/>
      <c r="G2895" s="14"/>
      <c r="H2895" s="14"/>
      <c r="I2895" s="14"/>
      <c r="J2895" s="14"/>
      <c r="K2895" s="14"/>
      <c r="L2895" s="14"/>
      <c r="M2895" s="14"/>
    </row>
    <row r="2896" spans="2:13" s="7" customFormat="1" ht="13.5">
      <c r="B2896" s="30"/>
      <c r="C2896" s="30"/>
      <c r="D2896" s="31"/>
      <c r="E2896" s="35"/>
      <c r="F2896" s="130"/>
      <c r="G2896" s="14"/>
      <c r="H2896" s="14"/>
      <c r="I2896" s="14"/>
      <c r="J2896" s="14"/>
      <c r="K2896" s="14"/>
      <c r="L2896" s="14"/>
      <c r="M2896" s="14"/>
    </row>
    <row r="2897" spans="2:13" s="7" customFormat="1" ht="13.5">
      <c r="B2897" s="30"/>
      <c r="C2897" s="30"/>
      <c r="D2897" s="31"/>
      <c r="E2897" s="35"/>
      <c r="F2897" s="130"/>
      <c r="G2897" s="14"/>
      <c r="H2897" s="14"/>
      <c r="I2897" s="14"/>
      <c r="J2897" s="14"/>
      <c r="K2897" s="14"/>
      <c r="L2897" s="14"/>
      <c r="M2897" s="14"/>
    </row>
    <row r="2898" spans="2:13" s="7" customFormat="1" ht="13.5">
      <c r="B2898" s="30"/>
      <c r="C2898" s="30"/>
      <c r="D2898" s="31"/>
      <c r="E2898" s="35"/>
      <c r="F2898" s="130"/>
      <c r="G2898" s="14"/>
      <c r="H2898" s="14"/>
      <c r="I2898" s="14"/>
      <c r="J2898" s="14"/>
      <c r="K2898" s="14"/>
      <c r="L2898" s="14"/>
      <c r="M2898" s="14"/>
    </row>
    <row r="2899" spans="2:13" s="7" customFormat="1" ht="13.5">
      <c r="B2899" s="30"/>
      <c r="C2899" s="30"/>
      <c r="D2899" s="31"/>
      <c r="E2899" s="35"/>
      <c r="F2899" s="130"/>
      <c r="G2899" s="14"/>
      <c r="H2899" s="14"/>
      <c r="I2899" s="14"/>
      <c r="J2899" s="14"/>
      <c r="K2899" s="14"/>
      <c r="L2899" s="14"/>
      <c r="M2899" s="14"/>
    </row>
    <row r="2900" spans="2:13" s="7" customFormat="1" ht="13.5">
      <c r="B2900" s="30"/>
      <c r="C2900" s="30"/>
      <c r="D2900" s="31"/>
      <c r="E2900" s="35"/>
      <c r="F2900" s="130"/>
      <c r="G2900" s="14"/>
      <c r="H2900" s="14"/>
      <c r="I2900" s="14"/>
      <c r="J2900" s="14"/>
      <c r="K2900" s="14"/>
      <c r="L2900" s="14"/>
      <c r="M2900" s="14"/>
    </row>
    <row r="2901" spans="2:13" s="7" customFormat="1" ht="13.5">
      <c r="B2901" s="30"/>
      <c r="C2901" s="30"/>
      <c r="D2901" s="31"/>
      <c r="E2901" s="35"/>
      <c r="F2901" s="130"/>
      <c r="G2901" s="14"/>
      <c r="H2901" s="14"/>
      <c r="I2901" s="14"/>
      <c r="J2901" s="14"/>
      <c r="K2901" s="14"/>
      <c r="L2901" s="14"/>
      <c r="M2901" s="14"/>
    </row>
    <row r="2902" spans="2:13" s="7" customFormat="1" ht="13.5">
      <c r="B2902" s="30"/>
      <c r="C2902" s="30"/>
      <c r="D2902" s="31"/>
      <c r="E2902" s="35"/>
      <c r="F2902" s="130"/>
      <c r="G2902" s="14"/>
      <c r="H2902" s="14"/>
      <c r="I2902" s="14"/>
      <c r="J2902" s="14"/>
      <c r="K2902" s="14"/>
      <c r="L2902" s="14"/>
      <c r="M2902" s="14"/>
    </row>
    <row r="2903" spans="2:13" s="7" customFormat="1" ht="13.5">
      <c r="B2903" s="30"/>
      <c r="C2903" s="30"/>
      <c r="D2903" s="31"/>
      <c r="E2903" s="35"/>
      <c r="F2903" s="130"/>
      <c r="G2903" s="14"/>
      <c r="H2903" s="14"/>
      <c r="I2903" s="14"/>
      <c r="J2903" s="14"/>
      <c r="K2903" s="14"/>
      <c r="L2903" s="14"/>
      <c r="M2903" s="14"/>
    </row>
    <row r="2904" spans="2:13" s="7" customFormat="1" ht="13.5">
      <c r="B2904" s="30"/>
      <c r="C2904" s="30"/>
      <c r="D2904" s="31"/>
      <c r="E2904" s="35"/>
      <c r="F2904" s="130"/>
      <c r="G2904" s="14"/>
      <c r="H2904" s="14"/>
      <c r="I2904" s="14"/>
      <c r="J2904" s="14"/>
      <c r="K2904" s="14"/>
      <c r="L2904" s="14"/>
      <c r="M2904" s="14"/>
    </row>
    <row r="2905" spans="2:13" s="7" customFormat="1" ht="13.5">
      <c r="B2905" s="30"/>
      <c r="C2905" s="30"/>
      <c r="D2905" s="31"/>
      <c r="E2905" s="35"/>
      <c r="F2905" s="130"/>
      <c r="G2905" s="14"/>
      <c r="H2905" s="14"/>
      <c r="I2905" s="14"/>
      <c r="J2905" s="14"/>
      <c r="K2905" s="14"/>
      <c r="L2905" s="14"/>
      <c r="M2905" s="14"/>
    </row>
    <row r="2906" spans="2:13" s="7" customFormat="1" ht="13.5">
      <c r="B2906" s="30"/>
      <c r="C2906" s="30"/>
      <c r="D2906" s="31"/>
      <c r="E2906" s="35"/>
      <c r="F2906" s="130"/>
      <c r="G2906" s="14"/>
      <c r="H2906" s="14"/>
      <c r="I2906" s="14"/>
      <c r="J2906" s="14"/>
      <c r="K2906" s="14"/>
      <c r="L2906" s="14"/>
      <c r="M2906" s="14"/>
    </row>
    <row r="2907" spans="2:13" s="7" customFormat="1" ht="13.5">
      <c r="B2907" s="30"/>
      <c r="C2907" s="30"/>
      <c r="D2907" s="31"/>
      <c r="E2907" s="35"/>
      <c r="F2907" s="130"/>
      <c r="G2907" s="14"/>
      <c r="H2907" s="14"/>
      <c r="I2907" s="14"/>
      <c r="J2907" s="14"/>
      <c r="K2907" s="14"/>
      <c r="L2907" s="14"/>
      <c r="M2907" s="14"/>
    </row>
    <row r="2908" spans="2:13" s="7" customFormat="1" ht="13.5">
      <c r="B2908" s="30"/>
      <c r="C2908" s="30"/>
      <c r="D2908" s="31"/>
      <c r="E2908" s="35"/>
      <c r="F2908" s="130"/>
      <c r="G2908" s="14"/>
      <c r="H2908" s="14"/>
      <c r="I2908" s="14"/>
      <c r="J2908" s="14"/>
      <c r="K2908" s="14"/>
      <c r="L2908" s="14"/>
      <c r="M2908" s="14"/>
    </row>
    <row r="2909" spans="2:13" s="7" customFormat="1" ht="13.5">
      <c r="B2909" s="30"/>
      <c r="C2909" s="30"/>
      <c r="D2909" s="31"/>
      <c r="E2909" s="35"/>
      <c r="F2909" s="130"/>
      <c r="G2909" s="14"/>
      <c r="H2909" s="14"/>
      <c r="I2909" s="14"/>
      <c r="J2909" s="14"/>
      <c r="K2909" s="14"/>
      <c r="L2909" s="14"/>
      <c r="M2909" s="14"/>
    </row>
    <row r="2910" spans="2:13" s="7" customFormat="1" ht="13.5">
      <c r="B2910" s="30"/>
      <c r="C2910" s="30"/>
      <c r="D2910" s="31"/>
      <c r="E2910" s="35"/>
      <c r="F2910" s="130"/>
      <c r="G2910" s="14"/>
      <c r="H2910" s="14"/>
      <c r="I2910" s="14"/>
      <c r="J2910" s="14"/>
      <c r="K2910" s="14"/>
      <c r="L2910" s="14"/>
      <c r="M2910" s="14"/>
    </row>
    <row r="2911" spans="2:13" s="7" customFormat="1" ht="13.5">
      <c r="B2911" s="30"/>
      <c r="C2911" s="30"/>
      <c r="D2911" s="31"/>
      <c r="E2911" s="35"/>
      <c r="F2911" s="130"/>
      <c r="G2911" s="14"/>
      <c r="H2911" s="14"/>
      <c r="I2911" s="14"/>
      <c r="J2911" s="14"/>
      <c r="K2911" s="14"/>
      <c r="L2911" s="14"/>
      <c r="M2911" s="14"/>
    </row>
    <row r="2912" spans="2:13" s="7" customFormat="1" ht="13.5">
      <c r="B2912" s="30"/>
      <c r="C2912" s="30"/>
      <c r="D2912" s="31"/>
      <c r="E2912" s="35"/>
      <c r="F2912" s="130"/>
      <c r="G2912" s="14"/>
      <c r="H2912" s="14"/>
      <c r="I2912" s="14"/>
      <c r="J2912" s="14"/>
      <c r="K2912" s="14"/>
      <c r="L2912" s="14"/>
      <c r="M2912" s="14"/>
    </row>
    <row r="2913" spans="2:13" s="7" customFormat="1" ht="13.5">
      <c r="B2913" s="30"/>
      <c r="C2913" s="30"/>
      <c r="D2913" s="31"/>
      <c r="E2913" s="35"/>
      <c r="F2913" s="130"/>
      <c r="G2913" s="14"/>
      <c r="H2913" s="14"/>
      <c r="I2913" s="14"/>
      <c r="J2913" s="14"/>
      <c r="K2913" s="14"/>
      <c r="L2913" s="14"/>
      <c r="M2913" s="14"/>
    </row>
    <row r="2914" spans="2:13" s="7" customFormat="1" ht="13.5">
      <c r="B2914" s="30"/>
      <c r="C2914" s="30"/>
      <c r="D2914" s="31"/>
      <c r="E2914" s="35"/>
      <c r="F2914" s="130"/>
      <c r="G2914" s="14"/>
      <c r="H2914" s="14"/>
      <c r="I2914" s="14"/>
      <c r="J2914" s="14"/>
      <c r="K2914" s="14"/>
      <c r="L2914" s="14"/>
      <c r="M2914" s="14"/>
    </row>
    <row r="2915" spans="2:13" s="7" customFormat="1" ht="13.5">
      <c r="B2915" s="30"/>
      <c r="C2915" s="30"/>
      <c r="D2915" s="31"/>
      <c r="E2915" s="35"/>
      <c r="F2915" s="130"/>
      <c r="G2915" s="14"/>
      <c r="H2915" s="14"/>
      <c r="I2915" s="14"/>
      <c r="J2915" s="14"/>
      <c r="K2915" s="14"/>
      <c r="L2915" s="14"/>
      <c r="M2915" s="14"/>
    </row>
    <row r="2916" spans="2:13" s="7" customFormat="1" ht="13.5">
      <c r="B2916" s="30"/>
      <c r="C2916" s="30"/>
      <c r="D2916" s="31"/>
      <c r="E2916" s="35"/>
      <c r="F2916" s="130"/>
      <c r="G2916" s="14"/>
      <c r="H2916" s="14"/>
      <c r="I2916" s="14"/>
      <c r="J2916" s="14"/>
      <c r="K2916" s="14"/>
      <c r="L2916" s="14"/>
      <c r="M2916" s="14"/>
    </row>
    <row r="2917" spans="2:13" s="7" customFormat="1" ht="13.5">
      <c r="B2917" s="30"/>
      <c r="C2917" s="30"/>
      <c r="D2917" s="31"/>
      <c r="E2917" s="35"/>
      <c r="F2917" s="130"/>
      <c r="G2917" s="14"/>
      <c r="H2917" s="14"/>
      <c r="I2917" s="14"/>
      <c r="J2917" s="14"/>
      <c r="K2917" s="14"/>
      <c r="L2917" s="14"/>
      <c r="M2917" s="14"/>
    </row>
    <row r="2918" spans="2:13" s="7" customFormat="1" ht="13.5">
      <c r="B2918" s="30"/>
      <c r="C2918" s="30"/>
      <c r="D2918" s="31"/>
      <c r="E2918" s="35"/>
      <c r="F2918" s="130"/>
      <c r="G2918" s="14"/>
      <c r="H2918" s="14"/>
      <c r="I2918" s="14"/>
      <c r="J2918" s="14"/>
      <c r="K2918" s="14"/>
      <c r="L2918" s="14"/>
      <c r="M2918" s="14"/>
    </row>
    <row r="2919" spans="2:13" s="7" customFormat="1" ht="13.5">
      <c r="B2919" s="30"/>
      <c r="C2919" s="30"/>
      <c r="D2919" s="31"/>
      <c r="E2919" s="35"/>
      <c r="F2919" s="130"/>
      <c r="G2919" s="14"/>
      <c r="H2919" s="14"/>
      <c r="I2919" s="14"/>
      <c r="J2919" s="14"/>
      <c r="K2919" s="14"/>
      <c r="L2919" s="14"/>
      <c r="M2919" s="14"/>
    </row>
    <row r="2920" spans="2:13" s="7" customFormat="1" ht="13.5">
      <c r="B2920" s="30"/>
      <c r="C2920" s="30"/>
      <c r="D2920" s="31"/>
      <c r="E2920" s="35"/>
      <c r="F2920" s="130"/>
      <c r="G2920" s="14"/>
      <c r="H2920" s="14"/>
      <c r="I2920" s="14"/>
      <c r="J2920" s="14"/>
      <c r="K2920" s="14"/>
      <c r="L2920" s="14"/>
      <c r="M2920" s="14"/>
    </row>
    <row r="2921" spans="2:13" s="7" customFormat="1" ht="13.5">
      <c r="B2921" s="30"/>
      <c r="C2921" s="30"/>
      <c r="D2921" s="31"/>
      <c r="E2921" s="35"/>
      <c r="F2921" s="130"/>
      <c r="G2921" s="14"/>
      <c r="H2921" s="14"/>
      <c r="I2921" s="14"/>
      <c r="J2921" s="14"/>
      <c r="K2921" s="14"/>
      <c r="L2921" s="14"/>
      <c r="M2921" s="14"/>
    </row>
    <row r="2922" spans="2:13" s="7" customFormat="1" ht="13.5">
      <c r="B2922" s="30"/>
      <c r="C2922" s="30"/>
      <c r="D2922" s="31"/>
      <c r="E2922" s="35"/>
      <c r="F2922" s="130"/>
      <c r="G2922" s="14"/>
      <c r="H2922" s="14"/>
      <c r="I2922" s="14"/>
      <c r="J2922" s="14"/>
      <c r="K2922" s="14"/>
      <c r="L2922" s="14"/>
      <c r="M2922" s="14"/>
    </row>
    <row r="2923" spans="2:13" s="7" customFormat="1" ht="13.5">
      <c r="B2923" s="30"/>
      <c r="C2923" s="30"/>
      <c r="D2923" s="31"/>
      <c r="E2923" s="35"/>
      <c r="F2923" s="130"/>
      <c r="G2923" s="14"/>
      <c r="H2923" s="14"/>
      <c r="I2923" s="14"/>
      <c r="J2923" s="14"/>
      <c r="K2923" s="14"/>
      <c r="L2923" s="14"/>
      <c r="M2923" s="14"/>
    </row>
    <row r="2924" spans="1:5" ht="13.5">
      <c r="A2924" s="7"/>
      <c r="B2924" s="30"/>
      <c r="C2924" s="30"/>
      <c r="D2924" s="31"/>
      <c r="E2924" s="35"/>
    </row>
    <row r="2925" spans="1:5" ht="13.5">
      <c r="A2925" s="7"/>
      <c r="B2925" s="30"/>
      <c r="C2925" s="30"/>
      <c r="D2925" s="31"/>
      <c r="E2925" s="35"/>
    </row>
    <row r="2926" spans="1:5" ht="13.5">
      <c r="A2926" s="7"/>
      <c r="B2926" s="30"/>
      <c r="C2926" s="30"/>
      <c r="D2926" s="31"/>
      <c r="E2926" s="35"/>
    </row>
    <row r="2927" spans="1:5" ht="13.5">
      <c r="A2927" s="7"/>
      <c r="B2927" s="30"/>
      <c r="C2927" s="30"/>
      <c r="D2927" s="31"/>
      <c r="E2927" s="35"/>
    </row>
    <row r="2928" spans="1:5" ht="13.5">
      <c r="A2928" s="7"/>
      <c r="B2928" s="30"/>
      <c r="C2928" s="30"/>
      <c r="D2928" s="31"/>
      <c r="E2928" s="35"/>
    </row>
    <row r="2929" spans="1:5" ht="13.5">
      <c r="A2929" s="7"/>
      <c r="B2929" s="30"/>
      <c r="C2929" s="30"/>
      <c r="D2929" s="31"/>
      <c r="E2929" s="35"/>
    </row>
    <row r="2930" spans="1:5" ht="13.5">
      <c r="A2930" s="7"/>
      <c r="B2930" s="30"/>
      <c r="C2930" s="30"/>
      <c r="D2930" s="31"/>
      <c r="E2930" s="35"/>
    </row>
    <row r="2931" spans="1:5" ht="13.5">
      <c r="A2931" s="7"/>
      <c r="B2931" s="30"/>
      <c r="C2931" s="30"/>
      <c r="D2931" s="31"/>
      <c r="E2931" s="35"/>
    </row>
    <row r="2932" spans="1:5" ht="13.5">
      <c r="A2932" s="7"/>
      <c r="B2932" s="30"/>
      <c r="C2932" s="30"/>
      <c r="D2932" s="31"/>
      <c r="E2932" s="35"/>
    </row>
    <row r="2933" spans="1:5" ht="13.5">
      <c r="A2933" s="7"/>
      <c r="B2933" s="30"/>
      <c r="C2933" s="30"/>
      <c r="D2933" s="31"/>
      <c r="E2933" s="35"/>
    </row>
    <row r="2934" spans="1:5" ht="13.5">
      <c r="A2934" s="7"/>
      <c r="B2934" s="30"/>
      <c r="C2934" s="30"/>
      <c r="D2934" s="31"/>
      <c r="E2934" s="35"/>
    </row>
    <row r="2935" spans="1:5" ht="13.5">
      <c r="A2935" s="7"/>
      <c r="B2935" s="30"/>
      <c r="C2935" s="30"/>
      <c r="D2935" s="31"/>
      <c r="E2935" s="35"/>
    </row>
    <row r="2936" spans="1:5" ht="13.5">
      <c r="A2936" s="7"/>
      <c r="B2936" s="30"/>
      <c r="C2936" s="30"/>
      <c r="D2936" s="31"/>
      <c r="E2936" s="35"/>
    </row>
    <row r="2937" spans="1:5" ht="13.5">
      <c r="A2937" s="7"/>
      <c r="B2937" s="30"/>
      <c r="C2937" s="30"/>
      <c r="D2937" s="31"/>
      <c r="E2937" s="35"/>
    </row>
    <row r="2938" spans="1:5" ht="13.5">
      <c r="A2938" s="7"/>
      <c r="B2938" s="30"/>
      <c r="C2938" s="30"/>
      <c r="D2938" s="31"/>
      <c r="E2938" s="35"/>
    </row>
    <row r="2939" spans="1:5" ht="13.5">
      <c r="A2939" s="7"/>
      <c r="B2939" s="30"/>
      <c r="C2939" s="30"/>
      <c r="D2939" s="31"/>
      <c r="E2939" s="35"/>
    </row>
    <row r="2940" spans="1:5" ht="13.5">
      <c r="A2940" s="7"/>
      <c r="B2940" s="30"/>
      <c r="C2940" s="30"/>
      <c r="D2940" s="31"/>
      <c r="E2940" s="35"/>
    </row>
    <row r="2941" spans="1:5" ht="13.5">
      <c r="A2941" s="7"/>
      <c r="B2941" s="30"/>
      <c r="C2941" s="30"/>
      <c r="D2941" s="31"/>
      <c r="E2941" s="35"/>
    </row>
    <row r="2942" spans="1:5" ht="13.5">
      <c r="A2942" s="7"/>
      <c r="B2942" s="30"/>
      <c r="C2942" s="30"/>
      <c r="D2942" s="31"/>
      <c r="E2942" s="35"/>
    </row>
    <row r="2943" spans="1:5" ht="13.5">
      <c r="A2943" s="7"/>
      <c r="B2943" s="30"/>
      <c r="C2943" s="30"/>
      <c r="D2943" s="31"/>
      <c r="E2943" s="35"/>
    </row>
    <row r="2944" spans="1:5" ht="13.5">
      <c r="A2944" s="7"/>
      <c r="B2944" s="30"/>
      <c r="C2944" s="30"/>
      <c r="D2944" s="31"/>
      <c r="E2944" s="35"/>
    </row>
    <row r="2945" spans="1:5" ht="13.5">
      <c r="A2945" s="7"/>
      <c r="B2945" s="30"/>
      <c r="C2945" s="30"/>
      <c r="D2945" s="31"/>
      <c r="E2945" s="35"/>
    </row>
    <row r="2946" spans="1:5" ht="13.5">
      <c r="A2946" s="7"/>
      <c r="B2946" s="30"/>
      <c r="C2946" s="30"/>
      <c r="D2946" s="31"/>
      <c r="E2946" s="35"/>
    </row>
    <row r="2947" spans="1:5" ht="13.5">
      <c r="A2947" s="7"/>
      <c r="B2947" s="30"/>
      <c r="C2947" s="30"/>
      <c r="D2947" s="31"/>
      <c r="E2947" s="35"/>
    </row>
    <row r="2948" spans="1:5" ht="13.5">
      <c r="A2948" s="7"/>
      <c r="B2948" s="30"/>
      <c r="C2948" s="30"/>
      <c r="D2948" s="31"/>
      <c r="E2948" s="35"/>
    </row>
    <row r="2949" spans="1:5" ht="13.5">
      <c r="A2949" s="7"/>
      <c r="B2949" s="30"/>
      <c r="C2949" s="30"/>
      <c r="D2949" s="31"/>
      <c r="E2949" s="35"/>
    </row>
    <row r="2950" spans="1:5" ht="13.5">
      <c r="A2950" s="7"/>
      <c r="B2950" s="30"/>
      <c r="C2950" s="30"/>
      <c r="D2950" s="31"/>
      <c r="E2950" s="35"/>
    </row>
    <row r="2951" spans="1:5" ht="13.5">
      <c r="A2951" s="7"/>
      <c r="B2951" s="30"/>
      <c r="C2951" s="30"/>
      <c r="D2951" s="31"/>
      <c r="E2951" s="35"/>
    </row>
    <row r="2952" spans="1:5" ht="13.5">
      <c r="A2952" s="7"/>
      <c r="B2952" s="30"/>
      <c r="C2952" s="30"/>
      <c r="D2952" s="31"/>
      <c r="E2952" s="35"/>
    </row>
    <row r="2953" spans="1:5" ht="13.5">
      <c r="A2953" s="7"/>
      <c r="B2953" s="30"/>
      <c r="C2953" s="30"/>
      <c r="D2953" s="31"/>
      <c r="E2953" s="35"/>
    </row>
    <row r="2954" spans="1:5" ht="13.5">
      <c r="A2954" s="7"/>
      <c r="B2954" s="30"/>
      <c r="C2954" s="30"/>
      <c r="D2954" s="31"/>
      <c r="E2954" s="35"/>
    </row>
    <row r="2955" spans="1:5" ht="13.5">
      <c r="A2955" s="7"/>
      <c r="B2955" s="30"/>
      <c r="C2955" s="30"/>
      <c r="D2955" s="31"/>
      <c r="E2955" s="35"/>
    </row>
    <row r="2956" spans="1:5" ht="13.5">
      <c r="A2956" s="7"/>
      <c r="B2956" s="30"/>
      <c r="C2956" s="30"/>
      <c r="D2956" s="31"/>
      <c r="E2956" s="35"/>
    </row>
    <row r="2957" spans="1:5" ht="13.5">
      <c r="A2957" s="7"/>
      <c r="B2957" s="30"/>
      <c r="C2957" s="30"/>
      <c r="D2957" s="31"/>
      <c r="E2957" s="35"/>
    </row>
    <row r="2958" spans="1:5" ht="13.5">
      <c r="A2958" s="7"/>
      <c r="B2958" s="30"/>
      <c r="C2958" s="30"/>
      <c r="D2958" s="31"/>
      <c r="E2958" s="35"/>
    </row>
  </sheetData>
  <sheetProtection/>
  <mergeCells count="19">
    <mergeCell ref="A260:B260"/>
    <mergeCell ref="A17:B17"/>
    <mergeCell ref="A72:B72"/>
    <mergeCell ref="A40:B40"/>
    <mergeCell ref="A55:B55"/>
    <mergeCell ref="A79:B79"/>
    <mergeCell ref="A152:B152"/>
    <mergeCell ref="A164:B164"/>
    <mergeCell ref="A175:B175"/>
    <mergeCell ref="A341:B341"/>
    <mergeCell ref="A102:B102"/>
    <mergeCell ref="A116:B116"/>
    <mergeCell ref="A302:B302"/>
    <mergeCell ref="A324:B324"/>
    <mergeCell ref="A193:B193"/>
    <mergeCell ref="A204:B204"/>
    <mergeCell ref="A221:B221"/>
    <mergeCell ref="A130:B130"/>
    <mergeCell ref="A271:B271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Narrow,Normal"&amp;8Jefatura de Gabinete
Página &amp;P de &amp;N</oddFooter>
  </headerFooter>
  <rowBreaks count="3" manualBreakCount="3">
    <brk id="88" max="255" man="1"/>
    <brk id="163" max="255" man="1"/>
    <brk id="242" max="255" man="1"/>
  </rowBreaks>
  <colBreaks count="1" manualBreakCount="1">
    <brk id="6" max="35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C13" sqref="C13"/>
    </sheetView>
  </sheetViews>
  <sheetFormatPr defaultColWidth="11.421875" defaultRowHeight="12.75"/>
  <cols>
    <col min="1" max="1" width="9.7109375" style="567" customWidth="1"/>
    <col min="2" max="2" width="46.7109375" style="716" customWidth="1"/>
    <col min="3" max="3" width="12.7109375" style="664" customWidth="1"/>
    <col min="4" max="4" width="10.7109375" style="717" customWidth="1"/>
    <col min="5" max="5" width="13.7109375" style="708" customWidth="1"/>
    <col min="6" max="6" width="12.7109375" style="711" customWidth="1"/>
    <col min="7" max="10" width="12.7109375" style="710" customWidth="1"/>
    <col min="11" max="16384" width="11.421875" style="4" customWidth="1"/>
  </cols>
  <sheetData>
    <row r="1" spans="1:10" s="683" customFormat="1" ht="12.75" customHeight="1">
      <c r="A1" s="262" t="s">
        <v>1385</v>
      </c>
      <c r="B1" s="677"/>
      <c r="C1" s="678"/>
      <c r="D1" s="679"/>
      <c r="E1" s="680"/>
      <c r="F1" s="681"/>
      <c r="G1" s="682"/>
      <c r="H1" s="682"/>
      <c r="I1" s="682"/>
      <c r="J1" s="682"/>
    </row>
    <row r="2" spans="1:10" s="683" customFormat="1" ht="12.75" customHeight="1">
      <c r="A2" s="684"/>
      <c r="B2" s="677"/>
      <c r="C2" s="678"/>
      <c r="D2" s="679"/>
      <c r="E2" s="680"/>
      <c r="F2" s="681"/>
      <c r="G2" s="682"/>
      <c r="H2" s="682"/>
      <c r="I2" s="682"/>
      <c r="J2" s="682"/>
    </row>
    <row r="3" spans="1:6" s="7" customFormat="1" ht="13.5" customHeight="1" thickBot="1">
      <c r="A3" s="107"/>
      <c r="B3" s="254"/>
      <c r="C3" s="24"/>
      <c r="D3" s="315"/>
      <c r="E3" s="228"/>
      <c r="F3" s="301"/>
    </row>
    <row r="4" spans="1:6" s="14" customFormat="1" ht="13.5" customHeight="1">
      <c r="A4" s="64" t="s">
        <v>1069</v>
      </c>
      <c r="B4" s="220"/>
      <c r="C4" s="65"/>
      <c r="D4" s="219" t="s">
        <v>6</v>
      </c>
      <c r="E4" s="218">
        <v>6001</v>
      </c>
      <c r="F4" s="302"/>
    </row>
    <row r="5" spans="1:6" s="14" customFormat="1" ht="13.5" customHeight="1" thickBot="1">
      <c r="A5" s="49"/>
      <c r="B5" s="204"/>
      <c r="C5" s="119"/>
      <c r="D5" s="217"/>
      <c r="E5" s="216"/>
      <c r="F5" s="302"/>
    </row>
    <row r="6" spans="1:6" s="14" customFormat="1" ht="13.5" customHeight="1">
      <c r="A6" s="45" t="s">
        <v>1418</v>
      </c>
      <c r="B6" s="207"/>
      <c r="C6" s="172"/>
      <c r="D6" s="211"/>
      <c r="E6" s="212"/>
      <c r="F6" s="302"/>
    </row>
    <row r="7" spans="1:6" s="14" customFormat="1" ht="13.5" customHeight="1" thickBot="1">
      <c r="A7" s="49" t="s">
        <v>1419</v>
      </c>
      <c r="B7" s="204"/>
      <c r="C7" s="119"/>
      <c r="D7" s="305"/>
      <c r="E7" s="230"/>
      <c r="F7" s="302"/>
    </row>
    <row r="8" spans="1:6" s="14" customFormat="1" ht="13.5" customHeight="1">
      <c r="A8" s="169" t="s">
        <v>1370</v>
      </c>
      <c r="B8" s="244"/>
      <c r="C8" s="601"/>
      <c r="D8" s="699"/>
      <c r="E8" s="242"/>
      <c r="F8" s="302"/>
    </row>
    <row r="9" spans="1:6" s="14" customFormat="1" ht="13.5" customHeight="1">
      <c r="A9" s="52" t="s">
        <v>1384</v>
      </c>
      <c r="B9" s="199"/>
      <c r="C9" s="25"/>
      <c r="D9" s="306"/>
      <c r="E9" s="197"/>
      <c r="F9" s="302"/>
    </row>
    <row r="10" spans="1:6" s="14" customFormat="1" ht="13.5" customHeight="1">
      <c r="A10" s="52" t="s">
        <v>1421</v>
      </c>
      <c r="B10" s="199"/>
      <c r="C10" s="25"/>
      <c r="D10" s="306"/>
      <c r="E10" s="197"/>
      <c r="F10" s="302"/>
    </row>
    <row r="11" spans="1:6" s="14" customFormat="1" ht="13.5" customHeight="1" thickBot="1">
      <c r="A11" s="111" t="s">
        <v>11</v>
      </c>
      <c r="B11" s="195"/>
      <c r="C11" s="556"/>
      <c r="D11" s="700"/>
      <c r="E11" s="193"/>
      <c r="F11" s="302"/>
    </row>
    <row r="12" spans="1:6" s="14" customFormat="1" ht="13.5" customHeight="1" thickBot="1">
      <c r="A12" s="113" t="s">
        <v>0</v>
      </c>
      <c r="B12" s="701"/>
      <c r="C12" s="62" t="s">
        <v>224</v>
      </c>
      <c r="D12" s="702"/>
      <c r="E12" s="112">
        <f>C14+C20+C27</f>
        <v>151300</v>
      </c>
      <c r="F12" s="319"/>
    </row>
    <row r="13" spans="1:12" s="7" customFormat="1" ht="13.5" customHeight="1" thickBot="1">
      <c r="A13" s="12"/>
      <c r="B13" s="247"/>
      <c r="C13" s="33"/>
      <c r="D13" s="688"/>
      <c r="E13" s="59"/>
      <c r="F13" s="301"/>
      <c r="G13" s="78"/>
      <c r="H13" s="78"/>
      <c r="I13" s="78"/>
      <c r="J13" s="78"/>
      <c r="K13" s="78"/>
      <c r="L13" s="14"/>
    </row>
    <row r="14" spans="1:12" s="9" customFormat="1" ht="13.5" customHeight="1" thickBot="1">
      <c r="A14" s="947" t="s">
        <v>2</v>
      </c>
      <c r="B14" s="948"/>
      <c r="C14" s="38">
        <f>C15+C17</f>
        <v>14950</v>
      </c>
      <c r="D14" s="102"/>
      <c r="E14" s="697"/>
      <c r="F14" s="280"/>
      <c r="G14" s="286"/>
      <c r="H14" s="125"/>
      <c r="I14" s="57"/>
      <c r="J14" s="57"/>
      <c r="K14" s="57"/>
      <c r="L14" s="57"/>
    </row>
    <row r="15" spans="1:11" s="140" customFormat="1" ht="13.5" customHeight="1">
      <c r="A15" s="12" t="s">
        <v>117</v>
      </c>
      <c r="B15" s="791" t="s">
        <v>118</v>
      </c>
      <c r="C15" s="34">
        <f>SUM(C16)</f>
        <v>8500</v>
      </c>
      <c r="D15" s="135"/>
      <c r="E15" s="705"/>
      <c r="H15" s="71"/>
      <c r="I15" s="57"/>
      <c r="J15" s="57"/>
      <c r="K15" s="57"/>
    </row>
    <row r="16" spans="1:12" s="100" customFormat="1" ht="13.5" hidden="1">
      <c r="A16" s="13" t="s">
        <v>51</v>
      </c>
      <c r="B16" s="24" t="s">
        <v>52</v>
      </c>
      <c r="C16" s="821">
        <v>8500</v>
      </c>
      <c r="D16" s="670"/>
      <c r="E16" s="670"/>
      <c r="F16" s="670"/>
      <c r="G16" s="286"/>
      <c r="H16" s="71"/>
      <c r="I16" s="109"/>
      <c r="J16" s="57"/>
      <c r="K16" s="57"/>
      <c r="L16" s="78"/>
    </row>
    <row r="17" spans="1:12" s="100" customFormat="1" ht="13.5">
      <c r="A17" s="353" t="s">
        <v>169</v>
      </c>
      <c r="B17" s="26" t="s">
        <v>144</v>
      </c>
      <c r="C17" s="33">
        <f>SUM(C18)</f>
        <v>6450</v>
      </c>
      <c r="D17" s="670"/>
      <c r="E17" s="670"/>
      <c r="F17" s="670"/>
      <c r="G17" s="694"/>
      <c r="H17" s="78"/>
      <c r="I17" s="78"/>
      <c r="J17" s="78"/>
      <c r="K17" s="78"/>
      <c r="L17" s="78"/>
    </row>
    <row r="18" spans="1:12" s="100" customFormat="1" ht="13.5" hidden="1">
      <c r="A18" s="107" t="s">
        <v>173</v>
      </c>
      <c r="B18" s="24" t="s">
        <v>135</v>
      </c>
      <c r="C18" s="822">
        <v>6450</v>
      </c>
      <c r="D18" s="670"/>
      <c r="E18" s="670"/>
      <c r="F18" s="670"/>
      <c r="G18" s="694"/>
      <c r="H18" s="78"/>
      <c r="I18" s="78"/>
      <c r="J18" s="78"/>
      <c r="K18" s="78"/>
      <c r="L18" s="78"/>
    </row>
    <row r="19" spans="1:12" s="100" customFormat="1" ht="14.25" thickBot="1">
      <c r="A19" s="107"/>
      <c r="B19" s="24"/>
      <c r="C19" s="101"/>
      <c r="D19" s="670"/>
      <c r="E19" s="670"/>
      <c r="F19" s="670"/>
      <c r="G19" s="694"/>
      <c r="H19" s="78"/>
      <c r="I19" s="78"/>
      <c r="J19" s="78"/>
      <c r="K19" s="78"/>
      <c r="L19" s="78"/>
    </row>
    <row r="20" spans="1:12" s="9" customFormat="1" ht="13.5" customHeight="1" thickBot="1">
      <c r="A20" s="949" t="s">
        <v>3</v>
      </c>
      <c r="B20" s="950"/>
      <c r="C20" s="36">
        <f>C21+C23</f>
        <v>125000</v>
      </c>
      <c r="D20" s="102"/>
      <c r="E20" s="10"/>
      <c r="F20" s="280"/>
      <c r="G20" s="57"/>
      <c r="H20" s="57"/>
      <c r="I20" s="57"/>
      <c r="J20" s="57"/>
      <c r="K20" s="57"/>
      <c r="L20" s="57"/>
    </row>
    <row r="21" spans="1:8" s="142" customFormat="1" ht="13.5" customHeight="1">
      <c r="A21" s="12" t="s">
        <v>552</v>
      </c>
      <c r="B21" s="404" t="s">
        <v>553</v>
      </c>
      <c r="C21" s="34">
        <f>SUM(C22)</f>
        <v>15500</v>
      </c>
      <c r="D21" s="321"/>
      <c r="E21" s="321"/>
      <c r="F21" s="529"/>
      <c r="G21" s="529"/>
      <c r="H21" s="137"/>
    </row>
    <row r="22" spans="1:9" s="107" customFormat="1" ht="13.5" customHeight="1" hidden="1">
      <c r="A22" s="13" t="s">
        <v>560</v>
      </c>
      <c r="B22" s="13" t="s">
        <v>561</v>
      </c>
      <c r="C22" s="824">
        <v>15500</v>
      </c>
      <c r="D22" s="137"/>
      <c r="E22" s="26"/>
      <c r="F22" s="142"/>
      <c r="G22" s="137"/>
      <c r="H22" s="13"/>
      <c r="I22" s="24"/>
    </row>
    <row r="23" spans="1:5" s="140" customFormat="1" ht="13.5" customHeight="1">
      <c r="A23" s="813" t="s">
        <v>125</v>
      </c>
      <c r="B23" s="33" t="s">
        <v>8</v>
      </c>
      <c r="C23" s="34">
        <f>SUM(C24:C25)</f>
        <v>109500</v>
      </c>
      <c r="D23" s="135"/>
      <c r="E23" s="225"/>
    </row>
    <row r="24" spans="1:10" s="9" customFormat="1" ht="13.5" customHeight="1" hidden="1">
      <c r="A24" s="107" t="s">
        <v>102</v>
      </c>
      <c r="B24" s="25" t="s">
        <v>8</v>
      </c>
      <c r="C24" s="821">
        <v>96000</v>
      </c>
      <c r="E24" s="530"/>
      <c r="F24" s="535" t="s">
        <v>1377</v>
      </c>
      <c r="G24" s="692"/>
      <c r="H24" s="57"/>
      <c r="J24" s="123"/>
    </row>
    <row r="25" spans="1:7" s="9" customFormat="1" ht="13.5" customHeight="1" hidden="1">
      <c r="A25" s="107" t="s">
        <v>100</v>
      </c>
      <c r="B25" s="25" t="s">
        <v>7</v>
      </c>
      <c r="C25" s="822">
        <v>13500</v>
      </c>
      <c r="D25" s="697"/>
      <c r="E25" s="531"/>
      <c r="F25" s="676"/>
      <c r="G25" s="697"/>
    </row>
    <row r="26" spans="1:7" s="9" customFormat="1" ht="13.5" customHeight="1" thickBot="1">
      <c r="A26" s="107"/>
      <c r="B26" s="25"/>
      <c r="C26" s="87"/>
      <c r="D26" s="697"/>
      <c r="E26" s="531"/>
      <c r="F26" s="676"/>
      <c r="G26" s="697"/>
    </row>
    <row r="27" spans="1:6" s="9" customFormat="1" ht="13.5" customHeight="1" thickBot="1">
      <c r="A27" s="951" t="s">
        <v>4</v>
      </c>
      <c r="B27" s="952"/>
      <c r="C27" s="32">
        <f>C28+C30</f>
        <v>11350</v>
      </c>
      <c r="D27" s="102"/>
      <c r="E27" s="10"/>
      <c r="F27" s="280"/>
    </row>
    <row r="28" spans="1:5" s="140" customFormat="1" ht="13.5" customHeight="1">
      <c r="A28" s="353" t="s">
        <v>126</v>
      </c>
      <c r="B28" s="286" t="s">
        <v>127</v>
      </c>
      <c r="C28" s="34">
        <f>SUM(C29)</f>
        <v>6650</v>
      </c>
      <c r="D28" s="135"/>
      <c r="E28" s="225"/>
    </row>
    <row r="29" spans="1:7" s="100" customFormat="1" ht="13.5" hidden="1">
      <c r="A29" s="105" t="s">
        <v>101</v>
      </c>
      <c r="B29" s="105" t="s">
        <v>152</v>
      </c>
      <c r="C29" s="822">
        <f>4650+2000</f>
        <v>6650</v>
      </c>
      <c r="D29" s="676"/>
      <c r="E29" s="676"/>
      <c r="F29" s="676"/>
      <c r="G29" s="698"/>
    </row>
    <row r="30" spans="1:7" s="100" customFormat="1" ht="13.5">
      <c r="A30" s="353" t="s">
        <v>188</v>
      </c>
      <c r="B30" s="26" t="s">
        <v>145</v>
      </c>
      <c r="C30" s="96">
        <f>SUM(C31)</f>
        <v>4700</v>
      </c>
      <c r="D30" s="676"/>
      <c r="E30" s="676"/>
      <c r="F30" s="676"/>
      <c r="G30" s="698"/>
    </row>
    <row r="31" spans="1:7" s="100" customFormat="1" ht="13.5" hidden="1">
      <c r="A31" s="107" t="s">
        <v>189</v>
      </c>
      <c r="B31" s="24" t="s">
        <v>56</v>
      </c>
      <c r="C31" s="822">
        <f>2700+2000</f>
        <v>4700</v>
      </c>
      <c r="D31" s="676"/>
      <c r="E31" s="676"/>
      <c r="F31" s="676"/>
      <c r="G31" s="698"/>
    </row>
    <row r="32" spans="1:6" s="7" customFormat="1" ht="13.5" customHeight="1">
      <c r="A32" s="107"/>
      <c r="B32" s="107"/>
      <c r="C32" s="25"/>
      <c r="D32" s="315"/>
      <c r="E32" s="228"/>
      <c r="F32" s="301"/>
    </row>
    <row r="33" spans="2:6" ht="13.5">
      <c r="B33" s="706"/>
      <c r="C33" s="432"/>
      <c r="D33" s="707"/>
      <c r="F33" s="709"/>
    </row>
    <row r="34" spans="2:5" ht="15">
      <c r="B34" s="713"/>
      <c r="C34" s="22"/>
      <c r="D34" s="714"/>
      <c r="E34" s="712"/>
    </row>
    <row r="35" spans="2:5" ht="13.5">
      <c r="B35" s="715"/>
      <c r="C35" s="22"/>
      <c r="D35" s="714"/>
      <c r="E35" s="712"/>
    </row>
    <row r="36" spans="2:5" ht="13.5">
      <c r="B36" s="715"/>
      <c r="C36" s="22"/>
      <c r="D36" s="714"/>
      <c r="E36" s="712"/>
    </row>
    <row r="37" spans="2:5" ht="13.5">
      <c r="B37" s="706"/>
      <c r="C37" s="432"/>
      <c r="D37" s="707"/>
      <c r="E37" s="712"/>
    </row>
    <row r="38" spans="2:5" ht="13.5">
      <c r="B38" s="706"/>
      <c r="C38" s="432"/>
      <c r="D38" s="707"/>
      <c r="E38" s="712"/>
    </row>
    <row r="52" spans="1:6" s="7" customFormat="1" ht="13.5" customHeight="1">
      <c r="A52" s="11"/>
      <c r="B52" s="249"/>
      <c r="C52" s="29"/>
      <c r="D52" s="316"/>
      <c r="E52" s="228"/>
      <c r="F52" s="301"/>
    </row>
    <row r="53" spans="1:6" s="7" customFormat="1" ht="13.5" customHeight="1">
      <c r="A53" s="11"/>
      <c r="B53" s="249"/>
      <c r="C53" s="29"/>
      <c r="D53" s="718"/>
      <c r="E53" s="228"/>
      <c r="F53" s="301"/>
    </row>
    <row r="54" spans="1:6" s="7" customFormat="1" ht="13.5" customHeight="1">
      <c r="A54" s="11"/>
      <c r="B54" s="249"/>
      <c r="C54" s="29"/>
      <c r="D54" s="718"/>
      <c r="E54" s="228"/>
      <c r="F54" s="301"/>
    </row>
    <row r="55" spans="1:6" s="7" customFormat="1" ht="13.5" customHeight="1">
      <c r="A55" s="11"/>
      <c r="B55" s="249"/>
      <c r="C55" s="29"/>
      <c r="D55" s="718"/>
      <c r="E55" s="228"/>
      <c r="F55" s="301"/>
    </row>
    <row r="56" spans="1:6" s="7" customFormat="1" ht="13.5" customHeight="1">
      <c r="A56" s="11"/>
      <c r="B56" s="249"/>
      <c r="C56" s="29"/>
      <c r="D56" s="718"/>
      <c r="E56" s="228"/>
      <c r="F56" s="301"/>
    </row>
    <row r="57" spans="1:6" s="7" customFormat="1" ht="13.5" customHeight="1">
      <c r="A57" s="11"/>
      <c r="B57" s="249"/>
      <c r="C57" s="29"/>
      <c r="D57" s="718"/>
      <c r="E57" s="228"/>
      <c r="F57" s="301"/>
    </row>
    <row r="58" spans="1:6" s="7" customFormat="1" ht="13.5" customHeight="1">
      <c r="A58" s="11"/>
      <c r="B58" s="249"/>
      <c r="C58" s="29"/>
      <c r="D58" s="718"/>
      <c r="E58" s="228"/>
      <c r="F58" s="301"/>
    </row>
    <row r="59" spans="1:6" s="7" customFormat="1" ht="13.5" customHeight="1">
      <c r="A59" s="11"/>
      <c r="B59" s="249"/>
      <c r="C59" s="29"/>
      <c r="D59" s="718"/>
      <c r="E59" s="228"/>
      <c r="F59" s="301"/>
    </row>
    <row r="60" spans="1:6" s="7" customFormat="1" ht="13.5" customHeight="1">
      <c r="A60" s="11"/>
      <c r="B60" s="249"/>
      <c r="C60" s="29"/>
      <c r="D60" s="718"/>
      <c r="E60" s="228"/>
      <c r="F60" s="301"/>
    </row>
    <row r="61" spans="1:6" s="7" customFormat="1" ht="13.5" customHeight="1">
      <c r="A61" s="11"/>
      <c r="B61" s="249"/>
      <c r="C61" s="29"/>
      <c r="D61" s="718"/>
      <c r="E61" s="228"/>
      <c r="F61" s="301"/>
    </row>
    <row r="62" spans="1:6" s="7" customFormat="1" ht="13.5" customHeight="1">
      <c r="A62" s="11"/>
      <c r="B62" s="249"/>
      <c r="C62" s="29"/>
      <c r="D62" s="718"/>
      <c r="E62" s="228"/>
      <c r="F62" s="301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3">
    <mergeCell ref="A27:B27"/>
    <mergeCell ref="A14:B14"/>
    <mergeCell ref="A20:B20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Narrow,Normal"&amp;8Justicia Electoral
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C404"/>
  <sheetViews>
    <sheetView workbookViewId="0" topLeftCell="A1">
      <selection activeCell="L28" sqref="L28"/>
    </sheetView>
  </sheetViews>
  <sheetFormatPr defaultColWidth="11.421875" defaultRowHeight="12.75"/>
  <cols>
    <col min="1" max="6" width="2.421875" style="768" customWidth="1"/>
    <col min="7" max="9" width="2.421875" style="540" customWidth="1"/>
    <col min="10" max="10" width="52.8515625" style="540" customWidth="1"/>
    <col min="11" max="12" width="12.140625" style="770" customWidth="1"/>
    <col min="13" max="13" width="12.140625" style="765" customWidth="1"/>
    <col min="14" max="16" width="12.140625" style="773" customWidth="1"/>
    <col min="17" max="159" width="11.421875" style="768" customWidth="1"/>
    <col min="160" max="16384" width="11.421875" style="540" customWidth="1"/>
  </cols>
  <sheetData>
    <row r="1" spans="1:159" s="767" customFormat="1" ht="16.5" customHeight="1" thickBot="1">
      <c r="A1" s="868" t="s">
        <v>1215</v>
      </c>
      <c r="B1" s="869"/>
      <c r="C1" s="869"/>
      <c r="D1" s="869"/>
      <c r="E1" s="869"/>
      <c r="F1" s="869"/>
      <c r="G1" s="990" t="s">
        <v>1216</v>
      </c>
      <c r="H1" s="990"/>
      <c r="I1" s="990"/>
      <c r="J1" s="990"/>
      <c r="K1" s="870"/>
      <c r="L1" s="870"/>
      <c r="M1" s="870"/>
      <c r="N1" s="869"/>
      <c r="O1" s="869"/>
      <c r="P1" s="871">
        <f>SUM(O2:O130)</f>
        <v>718870635</v>
      </c>
      <c r="Q1" s="765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  <c r="AD1" s="766"/>
      <c r="AE1" s="766"/>
      <c r="AF1" s="766"/>
      <c r="AG1" s="766"/>
      <c r="AH1" s="766"/>
      <c r="AI1" s="766"/>
      <c r="AJ1" s="766"/>
      <c r="AK1" s="766"/>
      <c r="AL1" s="766"/>
      <c r="AM1" s="766"/>
      <c r="AN1" s="766"/>
      <c r="AO1" s="766"/>
      <c r="AP1" s="766"/>
      <c r="AQ1" s="766"/>
      <c r="AR1" s="766"/>
      <c r="AS1" s="766"/>
      <c r="AT1" s="766"/>
      <c r="AU1" s="766"/>
      <c r="AV1" s="766"/>
      <c r="AW1" s="766"/>
      <c r="AX1" s="766"/>
      <c r="AY1" s="766"/>
      <c r="AZ1" s="766"/>
      <c r="BA1" s="766"/>
      <c r="BB1" s="766"/>
      <c r="BC1" s="766"/>
      <c r="BD1" s="766"/>
      <c r="BE1" s="766"/>
      <c r="BF1" s="766"/>
      <c r="BG1" s="766"/>
      <c r="BH1" s="766"/>
      <c r="BI1" s="766"/>
      <c r="BJ1" s="766"/>
      <c r="BK1" s="766"/>
      <c r="BL1" s="766"/>
      <c r="BM1" s="766"/>
      <c r="BN1" s="766"/>
      <c r="BO1" s="766"/>
      <c r="BP1" s="766"/>
      <c r="BQ1" s="766"/>
      <c r="BR1" s="766"/>
      <c r="BS1" s="766"/>
      <c r="BT1" s="766"/>
      <c r="BU1" s="766"/>
      <c r="BV1" s="766"/>
      <c r="BW1" s="766"/>
      <c r="BX1" s="766"/>
      <c r="BY1" s="766"/>
      <c r="BZ1" s="766"/>
      <c r="CA1" s="766"/>
      <c r="CB1" s="766"/>
      <c r="CC1" s="766"/>
      <c r="CD1" s="766"/>
      <c r="CE1" s="766"/>
      <c r="CF1" s="766"/>
      <c r="CG1" s="766"/>
      <c r="CH1" s="766"/>
      <c r="CI1" s="766"/>
      <c r="CJ1" s="766"/>
      <c r="CK1" s="766"/>
      <c r="CL1" s="766"/>
      <c r="CM1" s="766"/>
      <c r="CN1" s="766"/>
      <c r="CO1" s="766"/>
      <c r="CP1" s="766"/>
      <c r="CQ1" s="766"/>
      <c r="CR1" s="766"/>
      <c r="CS1" s="766"/>
      <c r="CT1" s="766"/>
      <c r="CU1" s="766"/>
      <c r="CV1" s="766"/>
      <c r="CW1" s="766"/>
      <c r="CX1" s="766"/>
      <c r="CY1" s="766"/>
      <c r="CZ1" s="766"/>
      <c r="DA1" s="766"/>
      <c r="DB1" s="766"/>
      <c r="DC1" s="766"/>
      <c r="DD1" s="766"/>
      <c r="DE1" s="766"/>
      <c r="DF1" s="766"/>
      <c r="DG1" s="766"/>
      <c r="DH1" s="766"/>
      <c r="DI1" s="766"/>
      <c r="DJ1" s="766"/>
      <c r="DK1" s="766"/>
      <c r="DL1" s="766"/>
      <c r="DM1" s="766"/>
      <c r="DN1" s="766"/>
      <c r="DO1" s="766"/>
      <c r="DP1" s="766"/>
      <c r="DQ1" s="766"/>
      <c r="DR1" s="766"/>
      <c r="DS1" s="766"/>
      <c r="DT1" s="766"/>
      <c r="DU1" s="766"/>
      <c r="DV1" s="766"/>
      <c r="DW1" s="766"/>
      <c r="DX1" s="766"/>
      <c r="DY1" s="766"/>
      <c r="DZ1" s="766"/>
      <c r="EA1" s="766"/>
      <c r="EB1" s="766"/>
      <c r="EC1" s="766"/>
      <c r="ED1" s="766"/>
      <c r="EE1" s="766"/>
      <c r="EF1" s="766"/>
      <c r="EG1" s="766"/>
      <c r="EH1" s="766"/>
      <c r="EI1" s="766"/>
      <c r="EJ1" s="766"/>
      <c r="EK1" s="766"/>
      <c r="EL1" s="766"/>
      <c r="EM1" s="766"/>
      <c r="EN1" s="766"/>
      <c r="EO1" s="766"/>
      <c r="EP1" s="766"/>
      <c r="EQ1" s="766"/>
      <c r="ER1" s="766"/>
      <c r="ES1" s="766"/>
      <c r="ET1" s="766"/>
      <c r="EU1" s="766"/>
      <c r="EV1" s="766"/>
      <c r="EW1" s="766"/>
      <c r="EX1" s="766"/>
      <c r="EY1" s="766"/>
      <c r="EZ1" s="766"/>
      <c r="FA1" s="766"/>
      <c r="FB1" s="766"/>
      <c r="FC1" s="766"/>
    </row>
    <row r="2" spans="1:16" ht="13.5" thickBot="1">
      <c r="A2" s="853" t="s">
        <v>1215</v>
      </c>
      <c r="B2" s="854" t="s">
        <v>1215</v>
      </c>
      <c r="C2" s="854"/>
      <c r="D2" s="854"/>
      <c r="E2" s="854"/>
      <c r="F2" s="855"/>
      <c r="G2" s="854" t="s">
        <v>1217</v>
      </c>
      <c r="H2" s="855"/>
      <c r="I2" s="855"/>
      <c r="J2" s="855"/>
      <c r="K2" s="856"/>
      <c r="L2" s="857"/>
      <c r="M2" s="858"/>
      <c r="N2" s="854"/>
      <c r="O2" s="867">
        <f>SUM(N3:N86)</f>
        <v>636848704</v>
      </c>
      <c r="P2" s="859"/>
    </row>
    <row r="3" spans="1:159" s="889" customFormat="1" ht="13.5" thickBot="1">
      <c r="A3" s="880" t="s">
        <v>1215</v>
      </c>
      <c r="B3" s="881" t="s">
        <v>1215</v>
      </c>
      <c r="C3" s="881" t="s">
        <v>1215</v>
      </c>
      <c r="D3" s="881"/>
      <c r="E3" s="881"/>
      <c r="F3" s="882"/>
      <c r="G3" s="882"/>
      <c r="H3" s="881" t="s">
        <v>1218</v>
      </c>
      <c r="I3" s="882"/>
      <c r="J3" s="882"/>
      <c r="K3" s="883"/>
      <c r="L3" s="884"/>
      <c r="M3" s="885"/>
      <c r="N3" s="886">
        <f>SUM(M4:M69)</f>
        <v>439711322</v>
      </c>
      <c r="O3" s="881"/>
      <c r="P3" s="887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88"/>
      <c r="AL3" s="888"/>
      <c r="AM3" s="888"/>
      <c r="AN3" s="888"/>
      <c r="AO3" s="888"/>
      <c r="AP3" s="888"/>
      <c r="AQ3" s="888"/>
      <c r="AR3" s="888"/>
      <c r="AS3" s="888"/>
      <c r="AT3" s="888"/>
      <c r="AU3" s="888"/>
      <c r="AV3" s="888"/>
      <c r="AW3" s="888"/>
      <c r="AX3" s="888"/>
      <c r="AY3" s="888"/>
      <c r="AZ3" s="888"/>
      <c r="BA3" s="888"/>
      <c r="BB3" s="888"/>
      <c r="BC3" s="888"/>
      <c r="BD3" s="888"/>
      <c r="BE3" s="888"/>
      <c r="BF3" s="888"/>
      <c r="BG3" s="888"/>
      <c r="BH3" s="888"/>
      <c r="BI3" s="888"/>
      <c r="BJ3" s="888"/>
      <c r="BK3" s="888"/>
      <c r="BL3" s="888"/>
      <c r="BM3" s="888"/>
      <c r="BN3" s="888"/>
      <c r="BO3" s="888"/>
      <c r="BP3" s="888"/>
      <c r="BQ3" s="888"/>
      <c r="BR3" s="888"/>
      <c r="BS3" s="888"/>
      <c r="BT3" s="888"/>
      <c r="BU3" s="888"/>
      <c r="BV3" s="888"/>
      <c r="BW3" s="888"/>
      <c r="BX3" s="888"/>
      <c r="BY3" s="888"/>
      <c r="BZ3" s="888"/>
      <c r="CA3" s="888"/>
      <c r="CB3" s="888"/>
      <c r="CC3" s="888"/>
      <c r="CD3" s="888"/>
      <c r="CE3" s="888"/>
      <c r="CF3" s="888"/>
      <c r="CG3" s="888"/>
      <c r="CH3" s="888"/>
      <c r="CI3" s="888"/>
      <c r="CJ3" s="888"/>
      <c r="CK3" s="888"/>
      <c r="CL3" s="888"/>
      <c r="CM3" s="888"/>
      <c r="CN3" s="888"/>
      <c r="CO3" s="888"/>
      <c r="CP3" s="888"/>
      <c r="CQ3" s="888"/>
      <c r="CR3" s="888"/>
      <c r="CS3" s="888"/>
      <c r="CT3" s="888"/>
      <c r="CU3" s="888"/>
      <c r="CV3" s="888"/>
      <c r="CW3" s="888"/>
      <c r="CX3" s="888"/>
      <c r="CY3" s="888"/>
      <c r="CZ3" s="888"/>
      <c r="DA3" s="888"/>
      <c r="DB3" s="888"/>
      <c r="DC3" s="888"/>
      <c r="DD3" s="888"/>
      <c r="DE3" s="888"/>
      <c r="DF3" s="888"/>
      <c r="DG3" s="888"/>
      <c r="DH3" s="888"/>
      <c r="DI3" s="888"/>
      <c r="DJ3" s="888"/>
      <c r="DK3" s="888"/>
      <c r="DL3" s="888"/>
      <c r="DM3" s="888"/>
      <c r="DN3" s="888"/>
      <c r="DO3" s="888"/>
      <c r="DP3" s="888"/>
      <c r="DQ3" s="888"/>
      <c r="DR3" s="888"/>
      <c r="DS3" s="888"/>
      <c r="DT3" s="888"/>
      <c r="DU3" s="888"/>
      <c r="DV3" s="888"/>
      <c r="DW3" s="888"/>
      <c r="DX3" s="888"/>
      <c r="DY3" s="888"/>
      <c r="DZ3" s="888"/>
      <c r="EA3" s="888"/>
      <c r="EB3" s="888"/>
      <c r="EC3" s="888"/>
      <c r="ED3" s="888"/>
      <c r="EE3" s="888"/>
      <c r="EF3" s="888"/>
      <c r="EG3" s="888"/>
      <c r="EH3" s="888"/>
      <c r="EI3" s="888"/>
      <c r="EJ3" s="888"/>
      <c r="EK3" s="888"/>
      <c r="EL3" s="888"/>
      <c r="EM3" s="888"/>
      <c r="EN3" s="888"/>
      <c r="EO3" s="888"/>
      <c r="EP3" s="888"/>
      <c r="EQ3" s="888"/>
      <c r="ER3" s="888"/>
      <c r="ES3" s="888"/>
      <c r="ET3" s="888"/>
      <c r="EU3" s="888"/>
      <c r="EV3" s="888"/>
      <c r="EW3" s="888"/>
      <c r="EX3" s="888"/>
      <c r="EY3" s="888"/>
      <c r="EZ3" s="888"/>
      <c r="FA3" s="888"/>
      <c r="FB3" s="888"/>
      <c r="FC3" s="888"/>
    </row>
    <row r="4" spans="1:16" ht="13.5" thickBot="1">
      <c r="A4" s="860" t="s">
        <v>1215</v>
      </c>
      <c r="B4" s="861" t="s">
        <v>1215</v>
      </c>
      <c r="C4" s="861" t="s">
        <v>1215</v>
      </c>
      <c r="D4" s="861" t="s">
        <v>1215</v>
      </c>
      <c r="E4" s="861"/>
      <c r="F4" s="862"/>
      <c r="G4" s="862"/>
      <c r="H4" s="862"/>
      <c r="I4" s="861" t="s">
        <v>1219</v>
      </c>
      <c r="J4" s="862"/>
      <c r="K4" s="863"/>
      <c r="L4" s="864"/>
      <c r="M4" s="865">
        <f>SUM(L5:L42)</f>
        <v>415510218</v>
      </c>
      <c r="N4" s="861"/>
      <c r="O4" s="861"/>
      <c r="P4" s="866"/>
    </row>
    <row r="5" spans="1:16" ht="12.75">
      <c r="A5" s="769" t="s">
        <v>1215</v>
      </c>
      <c r="B5" s="768" t="s">
        <v>1215</v>
      </c>
      <c r="C5" s="768" t="s">
        <v>1215</v>
      </c>
      <c r="D5" s="768" t="s">
        <v>1215</v>
      </c>
      <c r="E5" s="768" t="s">
        <v>1220</v>
      </c>
      <c r="I5" s="540" t="s">
        <v>1221</v>
      </c>
      <c r="L5" s="771">
        <f>SUM(K6:K7)</f>
        <v>104539832</v>
      </c>
      <c r="M5" s="808"/>
      <c r="P5" s="774"/>
    </row>
    <row r="6" spans="1:16" ht="12.75">
      <c r="A6" s="769" t="s">
        <v>1215</v>
      </c>
      <c r="B6" s="768" t="s">
        <v>1215</v>
      </c>
      <c r="C6" s="768" t="s">
        <v>1215</v>
      </c>
      <c r="D6" s="768" t="s">
        <v>1215</v>
      </c>
      <c r="E6" s="768" t="s">
        <v>1220</v>
      </c>
      <c r="F6" s="768" t="s">
        <v>1220</v>
      </c>
      <c r="G6" s="768"/>
      <c r="H6" s="768"/>
      <c r="I6" s="768"/>
      <c r="J6" s="540" t="s">
        <v>1222</v>
      </c>
      <c r="K6" s="770">
        <v>92510543</v>
      </c>
      <c r="P6" s="774"/>
    </row>
    <row r="7" spans="1:16" ht="12.75">
      <c r="A7" s="769" t="s">
        <v>1215</v>
      </c>
      <c r="B7" s="768" t="s">
        <v>1215</v>
      </c>
      <c r="C7" s="768" t="s">
        <v>1215</v>
      </c>
      <c r="D7" s="768" t="s">
        <v>1215</v>
      </c>
      <c r="E7" s="768" t="s">
        <v>1220</v>
      </c>
      <c r="F7" s="768" t="s">
        <v>1223</v>
      </c>
      <c r="G7" s="768"/>
      <c r="H7" s="768"/>
      <c r="I7" s="768"/>
      <c r="J7" s="540" t="s">
        <v>1224</v>
      </c>
      <c r="K7" s="775">
        <v>12029289</v>
      </c>
      <c r="L7" s="771"/>
      <c r="N7" s="776"/>
      <c r="O7" s="777"/>
      <c r="P7" s="774"/>
    </row>
    <row r="8" spans="1:16" ht="12.75">
      <c r="A8" s="769" t="s">
        <v>1215</v>
      </c>
      <c r="B8" s="768" t="s">
        <v>1215</v>
      </c>
      <c r="C8" s="768" t="s">
        <v>1215</v>
      </c>
      <c r="D8" s="768" t="s">
        <v>1215</v>
      </c>
      <c r="E8" s="768" t="s">
        <v>1223</v>
      </c>
      <c r="I8" s="540" t="s">
        <v>1225</v>
      </c>
      <c r="K8" s="775"/>
      <c r="L8" s="771">
        <f>SUM(K9:K10)</f>
        <v>49565750</v>
      </c>
      <c r="P8" s="774"/>
    </row>
    <row r="9" spans="1:16" ht="12.75">
      <c r="A9" s="769" t="s">
        <v>1215</v>
      </c>
      <c r="B9" s="768" t="s">
        <v>1215</v>
      </c>
      <c r="C9" s="768" t="s">
        <v>1215</v>
      </c>
      <c r="D9" s="768" t="s">
        <v>1215</v>
      </c>
      <c r="E9" s="768" t="s">
        <v>1223</v>
      </c>
      <c r="F9" s="768" t="s">
        <v>1220</v>
      </c>
      <c r="G9" s="768"/>
      <c r="H9" s="768"/>
      <c r="I9" s="768"/>
      <c r="J9" s="540" t="s">
        <v>1226</v>
      </c>
      <c r="K9" s="775">
        <v>43150000</v>
      </c>
      <c r="L9" s="771"/>
      <c r="N9" s="776"/>
      <c r="O9" s="777"/>
      <c r="P9" s="778"/>
    </row>
    <row r="10" spans="1:16" ht="12.75">
      <c r="A10" s="769" t="s">
        <v>1215</v>
      </c>
      <c r="B10" s="768" t="s">
        <v>1215</v>
      </c>
      <c r="C10" s="768" t="s">
        <v>1215</v>
      </c>
      <c r="D10" s="768" t="s">
        <v>1215</v>
      </c>
      <c r="E10" s="768" t="s">
        <v>1223</v>
      </c>
      <c r="F10" s="768" t="s">
        <v>1223</v>
      </c>
      <c r="G10" s="768"/>
      <c r="H10" s="768"/>
      <c r="I10" s="768"/>
      <c r="J10" s="540" t="s">
        <v>1227</v>
      </c>
      <c r="K10" s="775">
        <v>6415750</v>
      </c>
      <c r="L10" s="771"/>
      <c r="N10" s="776"/>
      <c r="O10" s="777"/>
      <c r="P10" s="778"/>
    </row>
    <row r="11" spans="1:16" ht="12.75">
      <c r="A11" s="769" t="s">
        <v>1215</v>
      </c>
      <c r="B11" s="768" t="s">
        <v>1215</v>
      </c>
      <c r="C11" s="768" t="s">
        <v>1215</v>
      </c>
      <c r="D11" s="768" t="s">
        <v>1215</v>
      </c>
      <c r="E11" s="768" t="s">
        <v>1228</v>
      </c>
      <c r="I11" s="540" t="s">
        <v>1229</v>
      </c>
      <c r="K11" s="775"/>
      <c r="L11" s="771">
        <f>SUM(K12:K13)</f>
        <v>143954539</v>
      </c>
      <c r="P11" s="774"/>
    </row>
    <row r="12" spans="1:16" ht="12.75">
      <c r="A12" s="769" t="s">
        <v>1215</v>
      </c>
      <c r="B12" s="768" t="s">
        <v>1215</v>
      </c>
      <c r="C12" s="768" t="s">
        <v>1215</v>
      </c>
      <c r="D12" s="768" t="s">
        <v>1215</v>
      </c>
      <c r="E12" s="768" t="s">
        <v>1228</v>
      </c>
      <c r="F12" s="768" t="s">
        <v>1220</v>
      </c>
      <c r="G12" s="768"/>
      <c r="H12" s="768"/>
      <c r="I12" s="768"/>
      <c r="J12" s="540" t="s">
        <v>1230</v>
      </c>
      <c r="K12" s="775">
        <f>135839114+125925</f>
        <v>135965039</v>
      </c>
      <c r="L12" s="771"/>
      <c r="N12" s="776"/>
      <c r="O12" s="777"/>
      <c r="P12" s="778"/>
    </row>
    <row r="13" spans="1:16" ht="12.75">
      <c r="A13" s="769" t="s">
        <v>1215</v>
      </c>
      <c r="B13" s="768" t="s">
        <v>1215</v>
      </c>
      <c r="C13" s="768" t="s">
        <v>1215</v>
      </c>
      <c r="D13" s="768" t="s">
        <v>1215</v>
      </c>
      <c r="E13" s="768" t="s">
        <v>1228</v>
      </c>
      <c r="F13" s="768" t="s">
        <v>1223</v>
      </c>
      <c r="G13" s="768"/>
      <c r="H13" s="768"/>
      <c r="I13" s="768"/>
      <c r="J13" s="540" t="s">
        <v>1231</v>
      </c>
      <c r="K13" s="775">
        <v>7989500</v>
      </c>
      <c r="L13" s="771"/>
      <c r="N13" s="776"/>
      <c r="O13" s="777"/>
      <c r="P13" s="778"/>
    </row>
    <row r="14" spans="1:16" s="768" customFormat="1" ht="12.75">
      <c r="A14" s="769" t="s">
        <v>1215</v>
      </c>
      <c r="B14" s="768" t="s">
        <v>1215</v>
      </c>
      <c r="C14" s="768" t="s">
        <v>1215</v>
      </c>
      <c r="D14" s="768" t="s">
        <v>1215</v>
      </c>
      <c r="E14" s="768" t="s">
        <v>1232</v>
      </c>
      <c r="I14" s="768" t="s">
        <v>1233</v>
      </c>
      <c r="L14" s="775">
        <v>2046218</v>
      </c>
      <c r="M14" s="765"/>
      <c r="N14" s="773"/>
      <c r="O14" s="773"/>
      <c r="P14" s="774"/>
    </row>
    <row r="15" spans="1:16" ht="12.75">
      <c r="A15" s="769" t="s">
        <v>1215</v>
      </c>
      <c r="B15" s="768" t="s">
        <v>1215</v>
      </c>
      <c r="C15" s="768" t="s">
        <v>1215</v>
      </c>
      <c r="D15" s="768" t="s">
        <v>1215</v>
      </c>
      <c r="E15" s="768" t="s">
        <v>1234</v>
      </c>
      <c r="G15" s="768"/>
      <c r="H15" s="768"/>
      <c r="I15" s="768" t="s">
        <v>1235</v>
      </c>
      <c r="J15" s="768"/>
      <c r="K15" s="768"/>
      <c r="L15" s="775">
        <v>1685990</v>
      </c>
      <c r="P15" s="774"/>
    </row>
    <row r="16" spans="1:16" ht="12.75">
      <c r="A16" s="769" t="s">
        <v>1215</v>
      </c>
      <c r="B16" s="768" t="s">
        <v>1215</v>
      </c>
      <c r="C16" s="768" t="s">
        <v>1215</v>
      </c>
      <c r="D16" s="768" t="s">
        <v>1215</v>
      </c>
      <c r="E16" s="768" t="s">
        <v>1253</v>
      </c>
      <c r="G16" s="768"/>
      <c r="H16" s="768"/>
      <c r="I16" s="768" t="s">
        <v>1263</v>
      </c>
      <c r="J16" s="768"/>
      <c r="L16" s="770">
        <v>1226115</v>
      </c>
      <c r="P16" s="774"/>
    </row>
    <row r="17" spans="1:16" ht="12.75">
      <c r="A17" s="769" t="s">
        <v>1215</v>
      </c>
      <c r="B17" s="768" t="s">
        <v>1215</v>
      </c>
      <c r="C17" s="768" t="s">
        <v>1215</v>
      </c>
      <c r="D17" s="768" t="s">
        <v>1215</v>
      </c>
      <c r="E17" s="768" t="s">
        <v>1236</v>
      </c>
      <c r="G17" s="768"/>
      <c r="H17" s="768"/>
      <c r="I17" s="768" t="s">
        <v>1237</v>
      </c>
      <c r="J17" s="768"/>
      <c r="K17" s="768"/>
      <c r="L17" s="775">
        <v>106510</v>
      </c>
      <c r="P17" s="774"/>
    </row>
    <row r="18" spans="1:16" ht="12.75">
      <c r="A18" s="769" t="s">
        <v>1215</v>
      </c>
      <c r="B18" s="768" t="s">
        <v>1215</v>
      </c>
      <c r="C18" s="768" t="s">
        <v>1215</v>
      </c>
      <c r="D18" s="768" t="s">
        <v>1215</v>
      </c>
      <c r="E18" s="768" t="s">
        <v>1238</v>
      </c>
      <c r="G18" s="768"/>
      <c r="H18" s="768"/>
      <c r="I18" s="768" t="s">
        <v>1239</v>
      </c>
      <c r="J18" s="768"/>
      <c r="K18" s="768"/>
      <c r="L18" s="775">
        <v>103849</v>
      </c>
      <c r="P18" s="774"/>
    </row>
    <row r="19" spans="1:16" ht="12.75">
      <c r="A19" s="769" t="s">
        <v>1215</v>
      </c>
      <c r="B19" s="768" t="s">
        <v>1215</v>
      </c>
      <c r="C19" s="768" t="s">
        <v>1215</v>
      </c>
      <c r="D19" s="768" t="s">
        <v>1215</v>
      </c>
      <c r="E19" s="768" t="s">
        <v>1240</v>
      </c>
      <c r="G19" s="768"/>
      <c r="H19" s="768"/>
      <c r="I19" s="768" t="s">
        <v>1241</v>
      </c>
      <c r="J19" s="768"/>
      <c r="K19" s="768"/>
      <c r="L19" s="775">
        <v>3409485</v>
      </c>
      <c r="P19" s="774"/>
    </row>
    <row r="20" spans="1:16" ht="12.75">
      <c r="A20" s="769" t="s">
        <v>1215</v>
      </c>
      <c r="B20" s="768" t="s">
        <v>1215</v>
      </c>
      <c r="C20" s="768" t="s">
        <v>1215</v>
      </c>
      <c r="D20" s="768" t="s">
        <v>1215</v>
      </c>
      <c r="E20" s="768" t="s">
        <v>1242</v>
      </c>
      <c r="G20" s="768"/>
      <c r="H20" s="768"/>
      <c r="I20" s="768" t="s">
        <v>1243</v>
      </c>
      <c r="J20" s="768"/>
      <c r="K20" s="768"/>
      <c r="L20" s="775">
        <v>1499000</v>
      </c>
      <c r="P20" s="774"/>
    </row>
    <row r="21" spans="1:16" ht="12.75">
      <c r="A21" s="769" t="s">
        <v>1215</v>
      </c>
      <c r="B21" s="768" t="s">
        <v>1215</v>
      </c>
      <c r="C21" s="768" t="s">
        <v>1215</v>
      </c>
      <c r="D21" s="768" t="s">
        <v>1215</v>
      </c>
      <c r="E21" s="768" t="s">
        <v>1264</v>
      </c>
      <c r="G21" s="768"/>
      <c r="H21" s="768"/>
      <c r="I21" s="768" t="s">
        <v>1265</v>
      </c>
      <c r="J21" s="768"/>
      <c r="K21" s="768"/>
      <c r="L21" s="770">
        <v>2614796</v>
      </c>
      <c r="P21" s="774"/>
    </row>
    <row r="22" spans="1:16" ht="12.75">
      <c r="A22" s="769" t="s">
        <v>1215</v>
      </c>
      <c r="B22" s="768" t="s">
        <v>1215</v>
      </c>
      <c r="C22" s="768" t="s">
        <v>1215</v>
      </c>
      <c r="D22" s="768" t="s">
        <v>1215</v>
      </c>
      <c r="E22" s="768" t="s">
        <v>1244</v>
      </c>
      <c r="G22" s="768"/>
      <c r="H22" s="768"/>
      <c r="I22" s="768" t="s">
        <v>1245</v>
      </c>
      <c r="J22" s="768"/>
      <c r="K22" s="775"/>
      <c r="L22" s="771">
        <f>SUM(K23:K24)</f>
        <v>14211649</v>
      </c>
      <c r="P22" s="774"/>
    </row>
    <row r="23" spans="1:16" ht="12.75">
      <c r="A23" s="769" t="s">
        <v>1215</v>
      </c>
      <c r="B23" s="768" t="s">
        <v>1215</v>
      </c>
      <c r="C23" s="768" t="s">
        <v>1215</v>
      </c>
      <c r="D23" s="768" t="s">
        <v>1215</v>
      </c>
      <c r="E23" s="768" t="s">
        <v>1244</v>
      </c>
      <c r="F23" s="768" t="s">
        <v>1220</v>
      </c>
      <c r="G23" s="768"/>
      <c r="H23" s="768"/>
      <c r="I23" s="768"/>
      <c r="J23" s="768" t="s">
        <v>1246</v>
      </c>
      <c r="K23" s="775">
        <v>14211648</v>
      </c>
      <c r="L23" s="771"/>
      <c r="P23" s="774"/>
    </row>
    <row r="24" spans="1:16" ht="12.75">
      <c r="A24" s="769" t="s">
        <v>1215</v>
      </c>
      <c r="B24" s="768" t="s">
        <v>1215</v>
      </c>
      <c r="C24" s="768" t="s">
        <v>1215</v>
      </c>
      <c r="D24" s="768" t="s">
        <v>1215</v>
      </c>
      <c r="E24" s="768" t="s">
        <v>1244</v>
      </c>
      <c r="F24" s="768" t="s">
        <v>1223</v>
      </c>
      <c r="G24" s="768"/>
      <c r="H24" s="768"/>
      <c r="I24" s="768"/>
      <c r="J24" s="768" t="s">
        <v>1247</v>
      </c>
      <c r="K24" s="775">
        <v>1</v>
      </c>
      <c r="L24" s="771"/>
      <c r="P24" s="774"/>
    </row>
    <row r="25" spans="1:16" ht="12.75">
      <c r="A25" s="769" t="s">
        <v>1215</v>
      </c>
      <c r="B25" s="768" t="s">
        <v>1215</v>
      </c>
      <c r="C25" s="768" t="s">
        <v>1215</v>
      </c>
      <c r="D25" s="768" t="s">
        <v>1215</v>
      </c>
      <c r="E25" s="768" t="s">
        <v>1266</v>
      </c>
      <c r="G25" s="768"/>
      <c r="H25" s="768"/>
      <c r="I25" s="768" t="s">
        <v>1267</v>
      </c>
      <c r="J25" s="768"/>
      <c r="K25" s="768"/>
      <c r="L25" s="775">
        <v>9950390</v>
      </c>
      <c r="P25" s="774"/>
    </row>
    <row r="26" spans="1:16" ht="12.75">
      <c r="A26" s="769" t="s">
        <v>1215</v>
      </c>
      <c r="B26" s="768" t="s">
        <v>1215</v>
      </c>
      <c r="C26" s="768" t="s">
        <v>1215</v>
      </c>
      <c r="D26" s="768" t="s">
        <v>1215</v>
      </c>
      <c r="E26" s="768" t="s">
        <v>1268</v>
      </c>
      <c r="G26" s="768"/>
      <c r="H26" s="768"/>
      <c r="I26" s="768" t="s">
        <v>1269</v>
      </c>
      <c r="J26" s="768"/>
      <c r="K26" s="768"/>
      <c r="L26" s="775">
        <v>428500</v>
      </c>
      <c r="P26" s="774"/>
    </row>
    <row r="27" spans="1:16" ht="12.75">
      <c r="A27" s="769" t="s">
        <v>1215</v>
      </c>
      <c r="B27" s="768" t="s">
        <v>1215</v>
      </c>
      <c r="C27" s="768" t="s">
        <v>1215</v>
      </c>
      <c r="D27" s="768" t="s">
        <v>1215</v>
      </c>
      <c r="E27" s="768" t="s">
        <v>1248</v>
      </c>
      <c r="I27" s="540" t="s">
        <v>1286</v>
      </c>
      <c r="K27" s="775"/>
      <c r="L27" s="771">
        <f>SUM(K28:K36)</f>
        <v>21504759</v>
      </c>
      <c r="P27" s="774"/>
    </row>
    <row r="28" spans="1:16" ht="12.75">
      <c r="A28" s="769" t="s">
        <v>1215</v>
      </c>
      <c r="B28" s="768" t="s">
        <v>1215</v>
      </c>
      <c r="C28" s="768" t="s">
        <v>1215</v>
      </c>
      <c r="D28" s="768" t="s">
        <v>1215</v>
      </c>
      <c r="E28" s="768" t="s">
        <v>1248</v>
      </c>
      <c r="F28" s="768" t="s">
        <v>1220</v>
      </c>
      <c r="J28" s="540" t="s">
        <v>1287</v>
      </c>
      <c r="K28" s="775">
        <v>4275396</v>
      </c>
      <c r="L28" s="771"/>
      <c r="P28" s="774"/>
    </row>
    <row r="29" spans="1:16" ht="12.75">
      <c r="A29" s="769" t="s">
        <v>1215</v>
      </c>
      <c r="B29" s="768" t="s">
        <v>1215</v>
      </c>
      <c r="C29" s="768" t="s">
        <v>1215</v>
      </c>
      <c r="D29" s="768" t="s">
        <v>1215</v>
      </c>
      <c r="E29" s="768" t="s">
        <v>1248</v>
      </c>
      <c r="F29" s="768" t="s">
        <v>1223</v>
      </c>
      <c r="G29" s="768"/>
      <c r="H29" s="768"/>
      <c r="I29" s="768"/>
      <c r="J29" s="768" t="s">
        <v>1288</v>
      </c>
      <c r="K29" s="775">
        <v>3808432</v>
      </c>
      <c r="L29" s="771"/>
      <c r="P29" s="774"/>
    </row>
    <row r="30" spans="1:16" ht="12.75">
      <c r="A30" s="769" t="s">
        <v>1215</v>
      </c>
      <c r="B30" s="768" t="s">
        <v>1215</v>
      </c>
      <c r="C30" s="768" t="s">
        <v>1215</v>
      </c>
      <c r="D30" s="768" t="s">
        <v>1215</v>
      </c>
      <c r="E30" s="768" t="s">
        <v>1248</v>
      </c>
      <c r="F30" s="768" t="s">
        <v>1228</v>
      </c>
      <c r="G30" s="768"/>
      <c r="H30" s="768"/>
      <c r="I30" s="768"/>
      <c r="J30" s="768" t="s">
        <v>1289</v>
      </c>
      <c r="K30" s="775">
        <v>1668750</v>
      </c>
      <c r="L30" s="771"/>
      <c r="P30" s="774"/>
    </row>
    <row r="31" spans="1:16" ht="12.75">
      <c r="A31" s="769" t="s">
        <v>1215</v>
      </c>
      <c r="B31" s="768" t="s">
        <v>1215</v>
      </c>
      <c r="C31" s="768" t="s">
        <v>1215</v>
      </c>
      <c r="D31" s="768" t="s">
        <v>1215</v>
      </c>
      <c r="E31" s="768" t="s">
        <v>1248</v>
      </c>
      <c r="F31" s="768" t="s">
        <v>1232</v>
      </c>
      <c r="G31" s="768"/>
      <c r="H31" s="768"/>
      <c r="I31" s="768"/>
      <c r="J31" s="768" t="s">
        <v>1290</v>
      </c>
      <c r="K31" s="775">
        <v>885924</v>
      </c>
      <c r="L31" s="771"/>
      <c r="M31" s="772"/>
      <c r="P31" s="774"/>
    </row>
    <row r="32" spans="1:16" ht="12.75">
      <c r="A32" s="769" t="s">
        <v>1215</v>
      </c>
      <c r="B32" s="768" t="s">
        <v>1215</v>
      </c>
      <c r="C32" s="768" t="s">
        <v>1215</v>
      </c>
      <c r="D32" s="768" t="s">
        <v>1215</v>
      </c>
      <c r="E32" s="768" t="s">
        <v>1248</v>
      </c>
      <c r="F32" s="768" t="s">
        <v>1234</v>
      </c>
      <c r="G32" s="768"/>
      <c r="H32" s="768"/>
      <c r="I32" s="768"/>
      <c r="J32" s="768" t="s">
        <v>1291</v>
      </c>
      <c r="K32" s="775">
        <v>6941122</v>
      </c>
      <c r="L32" s="771"/>
      <c r="M32" s="772"/>
      <c r="P32" s="774"/>
    </row>
    <row r="33" spans="1:16" ht="12.75">
      <c r="A33" s="769" t="s">
        <v>1215</v>
      </c>
      <c r="B33" s="768" t="s">
        <v>1215</v>
      </c>
      <c r="C33" s="768" t="s">
        <v>1215</v>
      </c>
      <c r="D33" s="768" t="s">
        <v>1215</v>
      </c>
      <c r="E33" s="768" t="s">
        <v>1248</v>
      </c>
      <c r="F33" s="768" t="s">
        <v>1253</v>
      </c>
      <c r="G33" s="768"/>
      <c r="H33" s="768"/>
      <c r="I33" s="768"/>
      <c r="J33" s="768" t="s">
        <v>1292</v>
      </c>
      <c r="K33" s="775">
        <v>2969409</v>
      </c>
      <c r="L33" s="771"/>
      <c r="M33" s="772"/>
      <c r="P33" s="774"/>
    </row>
    <row r="34" spans="1:16" ht="12.75">
      <c r="A34" s="769" t="str">
        <f aca="true" t="shared" si="0" ref="A34:E35">A33</f>
        <v>1.</v>
      </c>
      <c r="B34" s="768" t="str">
        <f t="shared" si="0"/>
        <v>1.</v>
      </c>
      <c r="C34" s="768" t="str">
        <f t="shared" si="0"/>
        <v>1.</v>
      </c>
      <c r="D34" s="768" t="str">
        <f t="shared" si="0"/>
        <v>1.</v>
      </c>
      <c r="E34" s="768" t="str">
        <f t="shared" si="0"/>
        <v>15.</v>
      </c>
      <c r="F34" s="768" t="s">
        <v>1236</v>
      </c>
      <c r="G34" s="768"/>
      <c r="H34" s="768"/>
      <c r="I34" s="768"/>
      <c r="J34" s="768" t="s">
        <v>1414</v>
      </c>
      <c r="K34" s="775">
        <v>562191</v>
      </c>
      <c r="L34" s="771"/>
      <c r="M34" s="772"/>
      <c r="P34" s="774"/>
    </row>
    <row r="35" spans="1:16" ht="12.75">
      <c r="A35" s="769" t="str">
        <f t="shared" si="0"/>
        <v>1.</v>
      </c>
      <c r="B35" s="768" t="str">
        <f t="shared" si="0"/>
        <v>1.</v>
      </c>
      <c r="C35" s="768" t="str">
        <f t="shared" si="0"/>
        <v>1.</v>
      </c>
      <c r="D35" s="768" t="str">
        <f t="shared" si="0"/>
        <v>1.</v>
      </c>
      <c r="E35" s="768" t="str">
        <f t="shared" si="0"/>
        <v>15.</v>
      </c>
      <c r="F35" s="768" t="s">
        <v>1238</v>
      </c>
      <c r="G35" s="768"/>
      <c r="H35" s="768"/>
      <c r="I35" s="768"/>
      <c r="J35" s="768" t="s">
        <v>1415</v>
      </c>
      <c r="K35" s="775">
        <v>393534</v>
      </c>
      <c r="L35" s="771"/>
      <c r="M35" s="772"/>
      <c r="P35" s="774"/>
    </row>
    <row r="36" spans="1:16" ht="12.75">
      <c r="A36" s="769" t="s">
        <v>1215</v>
      </c>
      <c r="B36" s="768" t="s">
        <v>1215</v>
      </c>
      <c r="C36" s="768" t="s">
        <v>1215</v>
      </c>
      <c r="D36" s="768" t="s">
        <v>1215</v>
      </c>
      <c r="E36" s="768" t="s">
        <v>1248</v>
      </c>
      <c r="F36" s="768" t="s">
        <v>1240</v>
      </c>
      <c r="G36" s="768"/>
      <c r="H36" s="768"/>
      <c r="I36" s="768"/>
      <c r="J36" s="768" t="s">
        <v>1293</v>
      </c>
      <c r="K36" s="775">
        <v>1</v>
      </c>
      <c r="L36" s="771"/>
      <c r="P36" s="774"/>
    </row>
    <row r="37" spans="1:16" ht="12.75">
      <c r="A37" s="769" t="s">
        <v>1215</v>
      </c>
      <c r="B37" s="768" t="s">
        <v>1215</v>
      </c>
      <c r="C37" s="768" t="s">
        <v>1215</v>
      </c>
      <c r="D37" s="768" t="s">
        <v>1215</v>
      </c>
      <c r="E37" s="768" t="s">
        <v>1360</v>
      </c>
      <c r="G37" s="768"/>
      <c r="H37" s="768"/>
      <c r="I37" s="768" t="s">
        <v>1249</v>
      </c>
      <c r="K37" s="775"/>
      <c r="L37" s="771">
        <v>2650296</v>
      </c>
      <c r="P37" s="774"/>
    </row>
    <row r="38" spans="1:16" ht="12.75">
      <c r="A38" s="769" t="s">
        <v>1215</v>
      </c>
      <c r="B38" s="768" t="s">
        <v>1215</v>
      </c>
      <c r="C38" s="768" t="s">
        <v>1215</v>
      </c>
      <c r="D38" s="768" t="s">
        <v>1215</v>
      </c>
      <c r="E38" s="768" t="s">
        <v>1361</v>
      </c>
      <c r="I38" s="540" t="s">
        <v>1250</v>
      </c>
      <c r="K38" s="775"/>
      <c r="L38" s="771">
        <f>SUM(K39:K42)</f>
        <v>56012540</v>
      </c>
      <c r="P38" s="774"/>
    </row>
    <row r="39" spans="1:16" ht="12.75">
      <c r="A39" s="769" t="s">
        <v>1215</v>
      </c>
      <c r="B39" s="768" t="s">
        <v>1215</v>
      </c>
      <c r="C39" s="768" t="s">
        <v>1215</v>
      </c>
      <c r="D39" s="768" t="s">
        <v>1215</v>
      </c>
      <c r="E39" s="768" t="s">
        <v>1361</v>
      </c>
      <c r="F39" s="768" t="s">
        <v>1220</v>
      </c>
      <c r="J39" s="768" t="s">
        <v>1251</v>
      </c>
      <c r="K39" s="770">
        <v>799677</v>
      </c>
      <c r="L39" s="789"/>
      <c r="P39" s="774"/>
    </row>
    <row r="40" spans="1:16" ht="12.75">
      <c r="A40" s="769" t="s">
        <v>1215</v>
      </c>
      <c r="B40" s="768" t="s">
        <v>1215</v>
      </c>
      <c r="C40" s="768" t="s">
        <v>1215</v>
      </c>
      <c r="D40" s="768" t="s">
        <v>1215</v>
      </c>
      <c r="E40" s="768" t="s">
        <v>1361</v>
      </c>
      <c r="F40" s="768" t="s">
        <v>1223</v>
      </c>
      <c r="G40" s="768"/>
      <c r="H40" s="768"/>
      <c r="I40" s="768"/>
      <c r="J40" s="768" t="s">
        <v>1252</v>
      </c>
      <c r="K40" s="775">
        <v>7552647</v>
      </c>
      <c r="L40" s="771"/>
      <c r="P40" s="774"/>
    </row>
    <row r="41" spans="1:16" ht="12.75">
      <c r="A41" s="769" t="s">
        <v>1215</v>
      </c>
      <c r="B41" s="768" t="s">
        <v>1215</v>
      </c>
      <c r="C41" s="768" t="s">
        <v>1215</v>
      </c>
      <c r="D41" s="768" t="s">
        <v>1215</v>
      </c>
      <c r="E41" s="768" t="s">
        <v>1361</v>
      </c>
      <c r="F41" s="768" t="s">
        <v>1228</v>
      </c>
      <c r="G41" s="768"/>
      <c r="H41" s="768"/>
      <c r="I41" s="768"/>
      <c r="J41" s="768" t="s">
        <v>1254</v>
      </c>
      <c r="K41" s="775">
        <v>47660215</v>
      </c>
      <c r="L41" s="771"/>
      <c r="P41" s="774"/>
    </row>
    <row r="42" spans="1:16" ht="13.5" thickBot="1">
      <c r="A42" s="769" t="s">
        <v>1215</v>
      </c>
      <c r="B42" s="768" t="s">
        <v>1215</v>
      </c>
      <c r="C42" s="768" t="s">
        <v>1215</v>
      </c>
      <c r="D42" s="768" t="s">
        <v>1215</v>
      </c>
      <c r="E42" s="768" t="s">
        <v>1361</v>
      </c>
      <c r="F42" s="768" t="s">
        <v>1232</v>
      </c>
      <c r="G42" s="768"/>
      <c r="H42" s="768"/>
      <c r="I42" s="768"/>
      <c r="J42" s="768" t="s">
        <v>1255</v>
      </c>
      <c r="K42" s="775">
        <v>1</v>
      </c>
      <c r="L42" s="771"/>
      <c r="P42" s="774"/>
    </row>
    <row r="43" spans="1:16" ht="13.5" thickBot="1">
      <c r="A43" s="860" t="s">
        <v>1215</v>
      </c>
      <c r="B43" s="861" t="s">
        <v>1215</v>
      </c>
      <c r="C43" s="861" t="s">
        <v>1215</v>
      </c>
      <c r="D43" s="861" t="s">
        <v>1256</v>
      </c>
      <c r="E43" s="862"/>
      <c r="F43" s="862"/>
      <c r="G43" s="862"/>
      <c r="H43" s="862"/>
      <c r="I43" s="861" t="s">
        <v>1261</v>
      </c>
      <c r="J43" s="862"/>
      <c r="K43" s="874"/>
      <c r="L43" s="864"/>
      <c r="M43" s="875">
        <f>SUM(L44:L72)</f>
        <v>24201104</v>
      </c>
      <c r="N43" s="861"/>
      <c r="O43" s="861"/>
      <c r="P43" s="866"/>
    </row>
    <row r="44" spans="1:16" s="768" customFormat="1" ht="12.75" hidden="1">
      <c r="A44" s="783"/>
      <c r="B44" s="784"/>
      <c r="C44" s="784"/>
      <c r="D44" s="784"/>
      <c r="E44" s="781"/>
      <c r="F44" s="781"/>
      <c r="G44" s="781"/>
      <c r="H44" s="781"/>
      <c r="I44" s="781" t="s">
        <v>1262</v>
      </c>
      <c r="J44" s="781"/>
      <c r="K44" s="775"/>
      <c r="L44" s="771"/>
      <c r="M44" s="765"/>
      <c r="N44" s="773"/>
      <c r="O44" s="773"/>
      <c r="P44" s="774"/>
    </row>
    <row r="45" spans="1:16" s="768" customFormat="1" ht="12.75" hidden="1">
      <c r="A45" s="785"/>
      <c r="B45" s="773"/>
      <c r="C45" s="773"/>
      <c r="D45" s="773"/>
      <c r="I45" s="773"/>
      <c r="K45" s="775"/>
      <c r="L45" s="771"/>
      <c r="M45" s="765"/>
      <c r="N45" s="773"/>
      <c r="O45" s="773"/>
      <c r="P45" s="774"/>
    </row>
    <row r="46" spans="1:16" ht="12.75">
      <c r="A46" s="769" t="s">
        <v>1215</v>
      </c>
      <c r="B46" s="768" t="s">
        <v>1215</v>
      </c>
      <c r="C46" s="768" t="s">
        <v>1215</v>
      </c>
      <c r="D46" s="768" t="s">
        <v>1256</v>
      </c>
      <c r="E46" s="768" t="s">
        <v>1220</v>
      </c>
      <c r="I46" s="540" t="s">
        <v>1270</v>
      </c>
      <c r="K46" s="775"/>
      <c r="L46" s="771">
        <f>SUM(K47:K51)</f>
        <v>11810076</v>
      </c>
      <c r="P46" s="774"/>
    </row>
    <row r="47" spans="1:16" ht="12.75">
      <c r="A47" s="769" t="s">
        <v>1215</v>
      </c>
      <c r="B47" s="768" t="s">
        <v>1215</v>
      </c>
      <c r="C47" s="768" t="s">
        <v>1215</v>
      </c>
      <c r="D47" s="768" t="s">
        <v>1256</v>
      </c>
      <c r="E47" s="768" t="str">
        <f>E46</f>
        <v>01.</v>
      </c>
      <c r="F47" s="768" t="s">
        <v>1220</v>
      </c>
      <c r="J47" s="540" t="s">
        <v>1271</v>
      </c>
      <c r="K47" s="775">
        <v>8613293</v>
      </c>
      <c r="L47" s="771"/>
      <c r="P47" s="774"/>
    </row>
    <row r="48" spans="1:16" ht="12.75">
      <c r="A48" s="769" t="s">
        <v>1215</v>
      </c>
      <c r="B48" s="768" t="s">
        <v>1215</v>
      </c>
      <c r="C48" s="768" t="s">
        <v>1215</v>
      </c>
      <c r="D48" s="768" t="s">
        <v>1256</v>
      </c>
      <c r="E48" s="768" t="str">
        <f>E47</f>
        <v>01.</v>
      </c>
      <c r="F48" s="768" t="s">
        <v>1223</v>
      </c>
      <c r="J48" s="768" t="s">
        <v>1272</v>
      </c>
      <c r="K48" s="775">
        <v>2892752</v>
      </c>
      <c r="L48" s="771"/>
      <c r="P48" s="774"/>
    </row>
    <row r="49" spans="1:16" ht="12.75">
      <c r="A49" s="769" t="s">
        <v>1215</v>
      </c>
      <c r="B49" s="768" t="s">
        <v>1215</v>
      </c>
      <c r="C49" s="768" t="s">
        <v>1215</v>
      </c>
      <c r="D49" s="768" t="s">
        <v>1256</v>
      </c>
      <c r="E49" s="768" t="str">
        <f>E48</f>
        <v>01.</v>
      </c>
      <c r="F49" s="768" t="s">
        <v>1228</v>
      </c>
      <c r="J49" s="768" t="s">
        <v>1273</v>
      </c>
      <c r="K49" s="775">
        <v>52800</v>
      </c>
      <c r="L49" s="771"/>
      <c r="P49" s="774"/>
    </row>
    <row r="50" spans="1:16" ht="12.75">
      <c r="A50" s="769" t="s">
        <v>1215</v>
      </c>
      <c r="B50" s="768" t="s">
        <v>1215</v>
      </c>
      <c r="C50" s="768" t="s">
        <v>1215</v>
      </c>
      <c r="D50" s="768" t="s">
        <v>1256</v>
      </c>
      <c r="E50" s="768" t="str">
        <f>E49</f>
        <v>01.</v>
      </c>
      <c r="F50" s="768" t="s">
        <v>1232</v>
      </c>
      <c r="J50" s="768" t="s">
        <v>1274</v>
      </c>
      <c r="K50" s="775">
        <v>220000</v>
      </c>
      <c r="L50" s="771"/>
      <c r="P50" s="774"/>
    </row>
    <row r="51" spans="1:16" ht="12.75">
      <c r="A51" s="769" t="s">
        <v>1215</v>
      </c>
      <c r="B51" s="768" t="s">
        <v>1215</v>
      </c>
      <c r="C51" s="768" t="s">
        <v>1215</v>
      </c>
      <c r="D51" s="768" t="s">
        <v>1256</v>
      </c>
      <c r="E51" s="768" t="str">
        <f>E50</f>
        <v>01.</v>
      </c>
      <c r="F51" s="768" t="s">
        <v>1234</v>
      </c>
      <c r="J51" s="540" t="s">
        <v>1275</v>
      </c>
      <c r="K51" s="775">
        <v>31231</v>
      </c>
      <c r="L51" s="771"/>
      <c r="P51" s="774"/>
    </row>
    <row r="52" spans="1:16" ht="12.75">
      <c r="A52" s="769" t="s">
        <v>1215</v>
      </c>
      <c r="B52" s="768" t="s">
        <v>1215</v>
      </c>
      <c r="C52" s="768" t="s">
        <v>1215</v>
      </c>
      <c r="D52" s="768" t="s">
        <v>1256</v>
      </c>
      <c r="E52" s="768" t="s">
        <v>1223</v>
      </c>
      <c r="I52" s="540" t="s">
        <v>1276</v>
      </c>
      <c r="J52" s="768"/>
      <c r="K52" s="775"/>
      <c r="L52" s="771">
        <f>SUM(K53:K56)</f>
        <v>5963230</v>
      </c>
      <c r="P52" s="774"/>
    </row>
    <row r="53" spans="1:16" ht="12.75">
      <c r="A53" s="769" t="s">
        <v>1215</v>
      </c>
      <c r="B53" s="768" t="s">
        <v>1215</v>
      </c>
      <c r="C53" s="768" t="s">
        <v>1215</v>
      </c>
      <c r="D53" s="768" t="s">
        <v>1256</v>
      </c>
      <c r="E53" s="768" t="s">
        <v>1223</v>
      </c>
      <c r="F53" s="768" t="s">
        <v>1220</v>
      </c>
      <c r="G53" s="768"/>
      <c r="H53" s="768"/>
      <c r="I53" s="768"/>
      <c r="J53" s="768" t="s">
        <v>1277</v>
      </c>
      <c r="K53" s="775">
        <v>900000</v>
      </c>
      <c r="L53" s="771"/>
      <c r="P53" s="774"/>
    </row>
    <row r="54" spans="1:16" ht="12.75">
      <c r="A54" s="769" t="s">
        <v>1215</v>
      </c>
      <c r="B54" s="768" t="s">
        <v>1215</v>
      </c>
      <c r="C54" s="768" t="s">
        <v>1215</v>
      </c>
      <c r="D54" s="768" t="s">
        <v>1256</v>
      </c>
      <c r="E54" s="768" t="s">
        <v>1223</v>
      </c>
      <c r="F54" s="768" t="s">
        <v>1223</v>
      </c>
      <c r="G54" s="768"/>
      <c r="H54" s="768"/>
      <c r="I54" s="768"/>
      <c r="J54" s="768" t="s">
        <v>1278</v>
      </c>
      <c r="K54" s="775">
        <v>1</v>
      </c>
      <c r="L54" s="771"/>
      <c r="P54" s="774"/>
    </row>
    <row r="55" spans="1:16" ht="12.75">
      <c r="A55" s="769" t="s">
        <v>1215</v>
      </c>
      <c r="B55" s="768" t="s">
        <v>1215</v>
      </c>
      <c r="C55" s="768" t="s">
        <v>1215</v>
      </c>
      <c r="D55" s="768" t="s">
        <v>1256</v>
      </c>
      <c r="E55" s="768" t="s">
        <v>1223</v>
      </c>
      <c r="F55" s="768" t="s">
        <v>1228</v>
      </c>
      <c r="G55" s="768"/>
      <c r="H55" s="768"/>
      <c r="I55" s="768"/>
      <c r="J55" s="768" t="s">
        <v>1279</v>
      </c>
      <c r="K55" s="775">
        <v>5063228</v>
      </c>
      <c r="L55" s="771"/>
      <c r="P55" s="774"/>
    </row>
    <row r="56" spans="1:16" ht="12.75">
      <c r="A56" s="769" t="s">
        <v>1215</v>
      </c>
      <c r="B56" s="768" t="s">
        <v>1215</v>
      </c>
      <c r="C56" s="768" t="s">
        <v>1215</v>
      </c>
      <c r="D56" s="768" t="s">
        <v>1256</v>
      </c>
      <c r="E56" s="768" t="s">
        <v>1223</v>
      </c>
      <c r="F56" s="768" t="s">
        <v>1232</v>
      </c>
      <c r="G56" s="768"/>
      <c r="H56" s="768"/>
      <c r="I56" s="768"/>
      <c r="J56" s="768" t="s">
        <v>1280</v>
      </c>
      <c r="K56" s="770">
        <v>1</v>
      </c>
      <c r="L56" s="771"/>
      <c r="P56" s="774"/>
    </row>
    <row r="57" spans="1:16" ht="12.75">
      <c r="A57" s="769" t="s">
        <v>1215</v>
      </c>
      <c r="B57" s="768" t="s">
        <v>1215</v>
      </c>
      <c r="C57" s="768" t="s">
        <v>1215</v>
      </c>
      <c r="D57" s="768" t="s">
        <v>1256</v>
      </c>
      <c r="E57" s="768" t="s">
        <v>1228</v>
      </c>
      <c r="I57" s="540" t="s">
        <v>1281</v>
      </c>
      <c r="K57" s="775"/>
      <c r="L57" s="771">
        <f>SUM(K58:K61)</f>
        <v>1543494</v>
      </c>
      <c r="P57" s="774"/>
    </row>
    <row r="58" spans="1:16" ht="12.75">
      <c r="A58" s="769" t="s">
        <v>1215</v>
      </c>
      <c r="B58" s="768" t="s">
        <v>1215</v>
      </c>
      <c r="C58" s="768" t="s">
        <v>1215</v>
      </c>
      <c r="D58" s="768" t="s">
        <v>1256</v>
      </c>
      <c r="E58" s="768" t="s">
        <v>1228</v>
      </c>
      <c r="F58" s="768" t="s">
        <v>1220</v>
      </c>
      <c r="J58" s="768" t="s">
        <v>1282</v>
      </c>
      <c r="K58" s="775">
        <v>244642</v>
      </c>
      <c r="L58" s="771"/>
      <c r="P58" s="774"/>
    </row>
    <row r="59" spans="1:16" ht="13.5" hidden="1" thickBot="1">
      <c r="A59" s="769" t="s">
        <v>1215</v>
      </c>
      <c r="B59" s="768" t="s">
        <v>1215</v>
      </c>
      <c r="C59" s="768" t="s">
        <v>1215</v>
      </c>
      <c r="D59" s="768" t="s">
        <v>1256</v>
      </c>
      <c r="E59" s="768" t="s">
        <v>1228</v>
      </c>
      <c r="J59" s="786" t="s">
        <v>1283</v>
      </c>
      <c r="K59" s="775">
        <v>0</v>
      </c>
      <c r="L59" s="771"/>
      <c r="M59" s="794" t="s">
        <v>1358</v>
      </c>
      <c r="N59" s="782"/>
      <c r="P59" s="774"/>
    </row>
    <row r="60" spans="1:16" ht="13.5" hidden="1" thickBot="1">
      <c r="A60" s="769" t="s">
        <v>1215</v>
      </c>
      <c r="B60" s="768" t="s">
        <v>1215</v>
      </c>
      <c r="C60" s="768" t="s">
        <v>1215</v>
      </c>
      <c r="D60" s="768" t="s">
        <v>1256</v>
      </c>
      <c r="E60" s="768" t="s">
        <v>1228</v>
      </c>
      <c r="J60" s="786" t="s">
        <v>1284</v>
      </c>
      <c r="K60" s="775">
        <v>0</v>
      </c>
      <c r="L60" s="771"/>
      <c r="M60" s="794" t="s">
        <v>1358</v>
      </c>
      <c r="N60" s="782"/>
      <c r="P60" s="774"/>
    </row>
    <row r="61" spans="1:16" ht="12.75">
      <c r="A61" s="769" t="s">
        <v>1215</v>
      </c>
      <c r="B61" s="768" t="s">
        <v>1215</v>
      </c>
      <c r="C61" s="768" t="s">
        <v>1215</v>
      </c>
      <c r="D61" s="768" t="s">
        <v>1256</v>
      </c>
      <c r="E61" s="768" t="s">
        <v>1228</v>
      </c>
      <c r="F61" s="768" t="s">
        <v>1223</v>
      </c>
      <c r="G61" s="768"/>
      <c r="H61" s="768"/>
      <c r="I61" s="768"/>
      <c r="J61" s="768" t="s">
        <v>1285</v>
      </c>
      <c r="K61" s="775">
        <v>1298852</v>
      </c>
      <c r="L61" s="771"/>
      <c r="P61" s="774"/>
    </row>
    <row r="62" spans="1:16" ht="12.75">
      <c r="A62" s="769" t="s">
        <v>1215</v>
      </c>
      <c r="B62" s="768" t="s">
        <v>1215</v>
      </c>
      <c r="C62" s="768" t="s">
        <v>1215</v>
      </c>
      <c r="D62" s="768" t="s">
        <v>1256</v>
      </c>
      <c r="E62" s="768" t="s">
        <v>1232</v>
      </c>
      <c r="G62" s="768"/>
      <c r="H62" s="768"/>
      <c r="I62" s="768" t="s">
        <v>1294</v>
      </c>
      <c r="J62" s="768"/>
      <c r="K62" s="775"/>
      <c r="L62" s="771">
        <f>SUM(K63:K66)</f>
        <v>1562583</v>
      </c>
      <c r="M62" s="772"/>
      <c r="P62" s="774"/>
    </row>
    <row r="63" spans="1:16" ht="12.75">
      <c r="A63" s="769" t="s">
        <v>1215</v>
      </c>
      <c r="B63" s="768" t="s">
        <v>1215</v>
      </c>
      <c r="C63" s="768" t="s">
        <v>1215</v>
      </c>
      <c r="D63" s="768" t="s">
        <v>1256</v>
      </c>
      <c r="E63" s="768" t="s">
        <v>1232</v>
      </c>
      <c r="F63" s="768" t="s">
        <v>1220</v>
      </c>
      <c r="G63" s="768"/>
      <c r="H63" s="768"/>
      <c r="I63" s="768"/>
      <c r="J63" s="768" t="s">
        <v>1295</v>
      </c>
      <c r="K63" s="775">
        <v>14523</v>
      </c>
      <c r="L63" s="771"/>
      <c r="M63" s="772"/>
      <c r="P63" s="774"/>
    </row>
    <row r="64" spans="1:16" ht="12.75">
      <c r="A64" s="769" t="s">
        <v>1215</v>
      </c>
      <c r="B64" s="768" t="s">
        <v>1215</v>
      </c>
      <c r="C64" s="768" t="s">
        <v>1215</v>
      </c>
      <c r="D64" s="768" t="s">
        <v>1256</v>
      </c>
      <c r="E64" s="768" t="s">
        <v>1232</v>
      </c>
      <c r="F64" s="768" t="s">
        <v>1223</v>
      </c>
      <c r="G64" s="768"/>
      <c r="H64" s="768"/>
      <c r="I64" s="768"/>
      <c r="J64" s="768" t="s">
        <v>1296</v>
      </c>
      <c r="K64" s="775">
        <v>299233</v>
      </c>
      <c r="L64" s="771"/>
      <c r="M64" s="772"/>
      <c r="P64" s="774"/>
    </row>
    <row r="65" spans="1:16" ht="12.75" hidden="1">
      <c r="A65" s="769" t="s">
        <v>1215</v>
      </c>
      <c r="B65" s="768" t="s">
        <v>1215</v>
      </c>
      <c r="C65" s="768" t="s">
        <v>1215</v>
      </c>
      <c r="D65" s="768" t="s">
        <v>1256</v>
      </c>
      <c r="E65" s="768" t="s">
        <v>1232</v>
      </c>
      <c r="F65" s="768" t="s">
        <v>1228</v>
      </c>
      <c r="G65" s="768"/>
      <c r="H65" s="768"/>
      <c r="I65" s="768"/>
      <c r="J65" s="768" t="s">
        <v>1372</v>
      </c>
      <c r="K65" s="775">
        <v>0</v>
      </c>
      <c r="L65" s="771"/>
      <c r="M65" s="772"/>
      <c r="P65" s="774"/>
    </row>
    <row r="66" spans="1:16" ht="12.75">
      <c r="A66" s="769" t="s">
        <v>1215</v>
      </c>
      <c r="B66" s="768" t="s">
        <v>1215</v>
      </c>
      <c r="C66" s="768" t="s">
        <v>1215</v>
      </c>
      <c r="D66" s="768" t="s">
        <v>1256</v>
      </c>
      <c r="E66" s="768" t="s">
        <v>1232</v>
      </c>
      <c r="F66" s="768" t="s">
        <v>1232</v>
      </c>
      <c r="G66" s="768"/>
      <c r="H66" s="768"/>
      <c r="I66" s="768"/>
      <c r="J66" s="768" t="s">
        <v>1297</v>
      </c>
      <c r="K66" s="775">
        <v>1248827</v>
      </c>
      <c r="L66" s="771"/>
      <c r="M66" s="772"/>
      <c r="P66" s="774"/>
    </row>
    <row r="67" spans="1:16" ht="12.75">
      <c r="A67" s="769" t="s">
        <v>1215</v>
      </c>
      <c r="B67" s="768" t="s">
        <v>1215</v>
      </c>
      <c r="C67" s="768" t="s">
        <v>1215</v>
      </c>
      <c r="D67" s="768" t="s">
        <v>1256</v>
      </c>
      <c r="E67" s="768" t="s">
        <v>1234</v>
      </c>
      <c r="G67" s="768"/>
      <c r="H67" s="768"/>
      <c r="I67" s="768" t="s">
        <v>1298</v>
      </c>
      <c r="J67" s="768"/>
      <c r="K67" s="775"/>
      <c r="L67" s="771">
        <f>SUM(K68:K72)</f>
        <v>3321721</v>
      </c>
      <c r="M67" s="772"/>
      <c r="P67" s="774"/>
    </row>
    <row r="68" spans="1:16" ht="12.75">
      <c r="A68" s="769" t="s">
        <v>1215</v>
      </c>
      <c r="B68" s="768" t="s">
        <v>1215</v>
      </c>
      <c r="C68" s="768" t="s">
        <v>1215</v>
      </c>
      <c r="D68" s="768" t="s">
        <v>1256</v>
      </c>
      <c r="E68" s="768" t="s">
        <v>1234</v>
      </c>
      <c r="F68" s="768" t="s">
        <v>1220</v>
      </c>
      <c r="G68" s="768"/>
      <c r="H68" s="768"/>
      <c r="I68" s="768"/>
      <c r="J68" s="768" t="s">
        <v>1299</v>
      </c>
      <c r="K68" s="775">
        <v>1313298</v>
      </c>
      <c r="L68" s="771"/>
      <c r="M68" s="772"/>
      <c r="P68" s="774"/>
    </row>
    <row r="69" spans="1:16" ht="12.75">
      <c r="A69" s="769" t="s">
        <v>1215</v>
      </c>
      <c r="B69" s="768" t="s">
        <v>1215</v>
      </c>
      <c r="C69" s="768" t="s">
        <v>1215</v>
      </c>
      <c r="D69" s="768" t="s">
        <v>1256</v>
      </c>
      <c r="E69" s="768" t="s">
        <v>1234</v>
      </c>
      <c r="F69" s="768" t="s">
        <v>1223</v>
      </c>
      <c r="G69" s="768"/>
      <c r="H69" s="768"/>
      <c r="I69" s="768"/>
      <c r="J69" s="768" t="s">
        <v>1300</v>
      </c>
      <c r="K69" s="775">
        <v>1768422</v>
      </c>
      <c r="L69" s="771"/>
      <c r="M69" s="772"/>
      <c r="P69" s="774"/>
    </row>
    <row r="70" spans="1:16" ht="12.75">
      <c r="A70" s="769" t="s">
        <v>1215</v>
      </c>
      <c r="B70" s="768" t="s">
        <v>1215</v>
      </c>
      <c r="C70" s="768" t="s">
        <v>1215</v>
      </c>
      <c r="D70" s="768" t="s">
        <v>1256</v>
      </c>
      <c r="E70" s="768" t="s">
        <v>1234</v>
      </c>
      <c r="F70" s="768" t="s">
        <v>1228</v>
      </c>
      <c r="G70" s="768"/>
      <c r="H70" s="768"/>
      <c r="I70" s="768"/>
      <c r="J70" s="768" t="s">
        <v>1301</v>
      </c>
      <c r="K70" s="775">
        <v>240000</v>
      </c>
      <c r="L70" s="771"/>
      <c r="M70" s="772"/>
      <c r="P70" s="774"/>
    </row>
    <row r="71" spans="1:16" ht="12.75" hidden="1">
      <c r="A71" s="779" t="s">
        <v>1215</v>
      </c>
      <c r="B71" s="780" t="s">
        <v>1215</v>
      </c>
      <c r="C71" s="780" t="s">
        <v>1215</v>
      </c>
      <c r="D71" s="780" t="s">
        <v>1256</v>
      </c>
      <c r="E71" s="768" t="s">
        <v>1234</v>
      </c>
      <c r="F71" s="780"/>
      <c r="G71" s="780"/>
      <c r="H71" s="780"/>
      <c r="I71" s="780"/>
      <c r="J71" s="782" t="s">
        <v>1302</v>
      </c>
      <c r="K71" s="770">
        <v>0</v>
      </c>
      <c r="M71" s="787" t="s">
        <v>1357</v>
      </c>
      <c r="N71" s="788"/>
      <c r="O71" s="782"/>
      <c r="P71" s="793"/>
    </row>
    <row r="72" spans="1:16" ht="13.5" thickBot="1">
      <c r="A72" s="769" t="s">
        <v>1215</v>
      </c>
      <c r="B72" s="768" t="s">
        <v>1215</v>
      </c>
      <c r="C72" s="768" t="s">
        <v>1215</v>
      </c>
      <c r="D72" s="768" t="s">
        <v>1256</v>
      </c>
      <c r="E72" s="768" t="s">
        <v>1234</v>
      </c>
      <c r="F72" s="768" t="s">
        <v>1232</v>
      </c>
      <c r="G72" s="768"/>
      <c r="H72" s="768"/>
      <c r="I72" s="768"/>
      <c r="J72" s="768" t="s">
        <v>1303</v>
      </c>
      <c r="K72" s="775">
        <v>1</v>
      </c>
      <c r="L72" s="771"/>
      <c r="M72" s="772"/>
      <c r="P72" s="774"/>
    </row>
    <row r="73" spans="1:159" s="898" customFormat="1" ht="13.5" thickBot="1">
      <c r="A73" s="890" t="s">
        <v>1215</v>
      </c>
      <c r="B73" s="891" t="s">
        <v>1215</v>
      </c>
      <c r="C73" s="891" t="s">
        <v>1256</v>
      </c>
      <c r="D73" s="891"/>
      <c r="E73" s="891"/>
      <c r="F73" s="892"/>
      <c r="G73" s="892"/>
      <c r="H73" s="891" t="s">
        <v>1304</v>
      </c>
      <c r="I73" s="892"/>
      <c r="J73" s="892"/>
      <c r="K73" s="893"/>
      <c r="L73" s="894"/>
      <c r="M73" s="895"/>
      <c r="N73" s="896">
        <f>SUM(M74:M87)</f>
        <v>197137382</v>
      </c>
      <c r="O73" s="891"/>
      <c r="P73" s="897"/>
      <c r="Q73" s="888"/>
      <c r="R73" s="888"/>
      <c r="S73" s="888"/>
      <c r="T73" s="888"/>
      <c r="U73" s="888"/>
      <c r="V73" s="888"/>
      <c r="W73" s="888"/>
      <c r="X73" s="888"/>
      <c r="Y73" s="888"/>
      <c r="Z73" s="888"/>
      <c r="AA73" s="888"/>
      <c r="AB73" s="888"/>
      <c r="AC73" s="888"/>
      <c r="AD73" s="888"/>
      <c r="AE73" s="888"/>
      <c r="AF73" s="888"/>
      <c r="AG73" s="888"/>
      <c r="AH73" s="888"/>
      <c r="AI73" s="888"/>
      <c r="AJ73" s="888"/>
      <c r="AK73" s="888"/>
      <c r="AL73" s="888"/>
      <c r="AM73" s="888"/>
      <c r="AN73" s="888"/>
      <c r="AO73" s="888"/>
      <c r="AP73" s="888"/>
      <c r="AQ73" s="888"/>
      <c r="AR73" s="888"/>
      <c r="AS73" s="888"/>
      <c r="AT73" s="888"/>
      <c r="AU73" s="888"/>
      <c r="AV73" s="888"/>
      <c r="AW73" s="888"/>
      <c r="AX73" s="888"/>
      <c r="AY73" s="888"/>
      <c r="AZ73" s="888"/>
      <c r="BA73" s="888"/>
      <c r="BB73" s="888"/>
      <c r="BC73" s="888"/>
      <c r="BD73" s="888"/>
      <c r="BE73" s="888"/>
      <c r="BF73" s="888"/>
      <c r="BG73" s="888"/>
      <c r="BH73" s="888"/>
      <c r="BI73" s="888"/>
      <c r="BJ73" s="888"/>
      <c r="BK73" s="888"/>
      <c r="BL73" s="888"/>
      <c r="BM73" s="888"/>
      <c r="BN73" s="888"/>
      <c r="BO73" s="888"/>
      <c r="BP73" s="888"/>
      <c r="BQ73" s="888"/>
      <c r="BR73" s="888"/>
      <c r="BS73" s="888"/>
      <c r="BT73" s="888"/>
      <c r="BU73" s="888"/>
      <c r="BV73" s="888"/>
      <c r="BW73" s="888"/>
      <c r="BX73" s="888"/>
      <c r="BY73" s="888"/>
      <c r="BZ73" s="888"/>
      <c r="CA73" s="888"/>
      <c r="CB73" s="888"/>
      <c r="CC73" s="888"/>
      <c r="CD73" s="888"/>
      <c r="CE73" s="888"/>
      <c r="CF73" s="888"/>
      <c r="CG73" s="888"/>
      <c r="CH73" s="888"/>
      <c r="CI73" s="888"/>
      <c r="CJ73" s="888"/>
      <c r="CK73" s="888"/>
      <c r="CL73" s="888"/>
      <c r="CM73" s="888"/>
      <c r="CN73" s="888"/>
      <c r="CO73" s="888"/>
      <c r="CP73" s="888"/>
      <c r="CQ73" s="888"/>
      <c r="CR73" s="888"/>
      <c r="CS73" s="888"/>
      <c r="CT73" s="888"/>
      <c r="CU73" s="888"/>
      <c r="CV73" s="888"/>
      <c r="CW73" s="888"/>
      <c r="CX73" s="888"/>
      <c r="CY73" s="888"/>
      <c r="CZ73" s="888"/>
      <c r="DA73" s="888"/>
      <c r="DB73" s="888"/>
      <c r="DC73" s="888"/>
      <c r="DD73" s="888"/>
      <c r="DE73" s="888"/>
      <c r="DF73" s="888"/>
      <c r="DG73" s="888"/>
      <c r="DH73" s="888"/>
      <c r="DI73" s="888"/>
      <c r="DJ73" s="888"/>
      <c r="DK73" s="888"/>
      <c r="DL73" s="888"/>
      <c r="DM73" s="888"/>
      <c r="DN73" s="888"/>
      <c r="DO73" s="888"/>
      <c r="DP73" s="888"/>
      <c r="DQ73" s="888"/>
      <c r="DR73" s="888"/>
      <c r="DS73" s="888"/>
      <c r="DT73" s="888"/>
      <c r="DU73" s="888"/>
      <c r="DV73" s="888"/>
      <c r="DW73" s="888"/>
      <c r="DX73" s="888"/>
      <c r="DY73" s="888"/>
      <c r="DZ73" s="888"/>
      <c r="EA73" s="888"/>
      <c r="EB73" s="888"/>
      <c r="EC73" s="888"/>
      <c r="ED73" s="888"/>
      <c r="EE73" s="888"/>
      <c r="EF73" s="888"/>
      <c r="EG73" s="888"/>
      <c r="EH73" s="888"/>
      <c r="EI73" s="888"/>
      <c r="EJ73" s="888"/>
      <c r="EK73" s="888"/>
      <c r="EL73" s="888"/>
      <c r="EM73" s="888"/>
      <c r="EN73" s="888"/>
      <c r="EO73" s="888"/>
      <c r="EP73" s="888"/>
      <c r="EQ73" s="888"/>
      <c r="ER73" s="888"/>
      <c r="ES73" s="888"/>
      <c r="ET73" s="888"/>
      <c r="EU73" s="888"/>
      <c r="EV73" s="888"/>
      <c r="EW73" s="888"/>
      <c r="EX73" s="888"/>
      <c r="EY73" s="888"/>
      <c r="EZ73" s="888"/>
      <c r="FA73" s="888"/>
      <c r="FB73" s="888"/>
      <c r="FC73" s="888"/>
    </row>
    <row r="74" spans="1:16" ht="13.5" thickBot="1">
      <c r="A74" s="860" t="s">
        <v>1215</v>
      </c>
      <c r="B74" s="861" t="s">
        <v>1215</v>
      </c>
      <c r="C74" s="861" t="s">
        <v>1256</v>
      </c>
      <c r="D74" s="861" t="s">
        <v>1215</v>
      </c>
      <c r="E74" s="861"/>
      <c r="F74" s="862"/>
      <c r="G74" s="862"/>
      <c r="H74" s="862"/>
      <c r="I74" s="861" t="s">
        <v>1305</v>
      </c>
      <c r="J74" s="862"/>
      <c r="K74" s="874"/>
      <c r="L74" s="864"/>
      <c r="M74" s="865">
        <f>SUM(L75:L86)</f>
        <v>19953849</v>
      </c>
      <c r="N74" s="861"/>
      <c r="O74" s="861"/>
      <c r="P74" s="866"/>
    </row>
    <row r="75" spans="1:16" ht="12.75">
      <c r="A75" s="769" t="s">
        <v>1215</v>
      </c>
      <c r="B75" s="768" t="s">
        <v>1215</v>
      </c>
      <c r="C75" s="768" t="s">
        <v>1256</v>
      </c>
      <c r="D75" s="768" t="s">
        <v>1215</v>
      </c>
      <c r="E75" s="768" t="s">
        <v>1220</v>
      </c>
      <c r="G75" s="768"/>
      <c r="H75" s="768"/>
      <c r="I75" s="768" t="s">
        <v>1306</v>
      </c>
      <c r="J75" s="768"/>
      <c r="K75" s="775"/>
      <c r="L75" s="771">
        <f>SUM(K82:K84)</f>
        <v>19953847</v>
      </c>
      <c r="M75" s="772"/>
      <c r="P75" s="774"/>
    </row>
    <row r="76" spans="1:16" ht="12.75" hidden="1">
      <c r="A76" s="769" t="s">
        <v>1215</v>
      </c>
      <c r="B76" s="768" t="s">
        <v>1215</v>
      </c>
      <c r="C76" s="768" t="s">
        <v>1256</v>
      </c>
      <c r="D76" s="768" t="s">
        <v>1215</v>
      </c>
      <c r="E76" s="768" t="s">
        <v>1220</v>
      </c>
      <c r="J76" s="540" t="s">
        <v>1307</v>
      </c>
      <c r="K76" s="775"/>
      <c r="L76" s="771"/>
      <c r="M76" s="772"/>
      <c r="P76" s="774"/>
    </row>
    <row r="77" spans="1:16" ht="12.75" hidden="1">
      <c r="A77" s="769" t="s">
        <v>1215</v>
      </c>
      <c r="B77" s="768" t="s">
        <v>1215</v>
      </c>
      <c r="C77" s="768" t="s">
        <v>1256</v>
      </c>
      <c r="D77" s="768" t="s">
        <v>1215</v>
      </c>
      <c r="E77" s="768" t="s">
        <v>1220</v>
      </c>
      <c r="J77" s="540" t="s">
        <v>1308</v>
      </c>
      <c r="K77" s="775"/>
      <c r="L77" s="771"/>
      <c r="M77" s="772"/>
      <c r="P77" s="774"/>
    </row>
    <row r="78" spans="1:16" ht="12.75" hidden="1">
      <c r="A78" s="769" t="s">
        <v>1215</v>
      </c>
      <c r="B78" s="768" t="s">
        <v>1215</v>
      </c>
      <c r="C78" s="768" t="s">
        <v>1256</v>
      </c>
      <c r="D78" s="768" t="s">
        <v>1215</v>
      </c>
      <c r="E78" s="768" t="s">
        <v>1220</v>
      </c>
      <c r="J78" s="540" t="s">
        <v>1309</v>
      </c>
      <c r="K78" s="775"/>
      <c r="L78" s="771"/>
      <c r="M78" s="772"/>
      <c r="P78" s="774"/>
    </row>
    <row r="79" spans="1:16" ht="12.75" hidden="1">
      <c r="A79" s="769" t="s">
        <v>1215</v>
      </c>
      <c r="B79" s="768" t="s">
        <v>1215</v>
      </c>
      <c r="C79" s="768" t="s">
        <v>1256</v>
      </c>
      <c r="D79" s="768" t="s">
        <v>1215</v>
      </c>
      <c r="E79" s="768" t="s">
        <v>1220</v>
      </c>
      <c r="J79" s="540" t="s">
        <v>1310</v>
      </c>
      <c r="K79" s="775"/>
      <c r="L79" s="771"/>
      <c r="M79" s="772"/>
      <c r="P79" s="774"/>
    </row>
    <row r="80" spans="1:16" ht="12.75" hidden="1">
      <c r="A80" s="769" t="s">
        <v>1215</v>
      </c>
      <c r="B80" s="768" t="s">
        <v>1215</v>
      </c>
      <c r="C80" s="768" t="s">
        <v>1256</v>
      </c>
      <c r="D80" s="768" t="s">
        <v>1215</v>
      </c>
      <c r="E80" s="768" t="s">
        <v>1220</v>
      </c>
      <c r="G80" s="768"/>
      <c r="H80" s="768"/>
      <c r="J80" s="768" t="s">
        <v>1311</v>
      </c>
      <c r="K80" s="775"/>
      <c r="L80" s="771"/>
      <c r="M80" s="772"/>
      <c r="P80" s="774"/>
    </row>
    <row r="81" spans="1:16" ht="12.75" hidden="1">
      <c r="A81" s="769" t="s">
        <v>1215</v>
      </c>
      <c r="B81" s="768" t="s">
        <v>1215</v>
      </c>
      <c r="C81" s="768" t="s">
        <v>1256</v>
      </c>
      <c r="D81" s="768" t="s">
        <v>1215</v>
      </c>
      <c r="E81" s="768" t="s">
        <v>1220</v>
      </c>
      <c r="J81" s="540" t="s">
        <v>1312</v>
      </c>
      <c r="K81" s="775"/>
      <c r="L81" s="771"/>
      <c r="M81" s="772"/>
      <c r="P81" s="774"/>
    </row>
    <row r="82" spans="1:16" ht="12.75">
      <c r="A82" s="769" t="s">
        <v>1215</v>
      </c>
      <c r="B82" s="768" t="s">
        <v>1215</v>
      </c>
      <c r="C82" s="768" t="s">
        <v>1256</v>
      </c>
      <c r="D82" s="768" t="s">
        <v>1215</v>
      </c>
      <c r="E82" s="768" t="s">
        <v>1220</v>
      </c>
      <c r="F82" s="768" t="s">
        <v>1220</v>
      </c>
      <c r="J82" s="768" t="s">
        <v>1313</v>
      </c>
      <c r="K82" s="775">
        <v>13115180</v>
      </c>
      <c r="L82" s="771"/>
      <c r="M82" s="772"/>
      <c r="P82" s="774"/>
    </row>
    <row r="83" spans="1:16" ht="12.75">
      <c r="A83" s="769" t="s">
        <v>1215</v>
      </c>
      <c r="B83" s="768" t="s">
        <v>1215</v>
      </c>
      <c r="C83" s="768" t="s">
        <v>1256</v>
      </c>
      <c r="D83" s="768" t="s">
        <v>1215</v>
      </c>
      <c r="E83" s="768" t="s">
        <v>1220</v>
      </c>
      <c r="F83" s="768" t="s">
        <v>1223</v>
      </c>
      <c r="J83" s="768" t="s">
        <v>1314</v>
      </c>
      <c r="K83" s="775">
        <v>6838666</v>
      </c>
      <c r="L83" s="771"/>
      <c r="M83" s="772"/>
      <c r="P83" s="774"/>
    </row>
    <row r="84" spans="1:16" ht="12.75">
      <c r="A84" s="769" t="s">
        <v>1215</v>
      </c>
      <c r="B84" s="768" t="s">
        <v>1215</v>
      </c>
      <c r="C84" s="768" t="s">
        <v>1256</v>
      </c>
      <c r="D84" s="768" t="s">
        <v>1215</v>
      </c>
      <c r="E84" s="768" t="s">
        <v>1220</v>
      </c>
      <c r="F84" s="768" t="s">
        <v>1228</v>
      </c>
      <c r="J84" s="768" t="s">
        <v>1327</v>
      </c>
      <c r="K84" s="770">
        <v>1</v>
      </c>
      <c r="L84" s="771"/>
      <c r="M84" s="789"/>
      <c r="P84" s="774"/>
    </row>
    <row r="85" spans="1:16" ht="12.75">
      <c r="A85" s="769" t="s">
        <v>1215</v>
      </c>
      <c r="B85" s="768" t="s">
        <v>1215</v>
      </c>
      <c r="C85" s="768" t="s">
        <v>1256</v>
      </c>
      <c r="D85" s="768" t="s">
        <v>1215</v>
      </c>
      <c r="E85" s="768" t="s">
        <v>1223</v>
      </c>
      <c r="I85" s="540" t="s">
        <v>1315</v>
      </c>
      <c r="K85" s="775"/>
      <c r="L85" s="771">
        <v>1</v>
      </c>
      <c r="M85" s="772"/>
      <c r="P85" s="774"/>
    </row>
    <row r="86" spans="1:16" ht="13.5" thickBot="1">
      <c r="A86" s="769" t="s">
        <v>1215</v>
      </c>
      <c r="B86" s="768" t="s">
        <v>1215</v>
      </c>
      <c r="C86" s="768" t="s">
        <v>1256</v>
      </c>
      <c r="D86" s="768" t="s">
        <v>1215</v>
      </c>
      <c r="E86" s="768" t="s">
        <v>1228</v>
      </c>
      <c r="I86" s="768" t="s">
        <v>1316</v>
      </c>
      <c r="J86" s="768"/>
      <c r="K86" s="775"/>
      <c r="L86" s="771">
        <v>1</v>
      </c>
      <c r="M86" s="772"/>
      <c r="P86" s="774"/>
    </row>
    <row r="87" spans="1:16" ht="13.5" thickBot="1">
      <c r="A87" s="860" t="s">
        <v>1215</v>
      </c>
      <c r="B87" s="861" t="s">
        <v>1215</v>
      </c>
      <c r="C87" s="861" t="s">
        <v>1256</v>
      </c>
      <c r="D87" s="861" t="s">
        <v>1256</v>
      </c>
      <c r="E87" s="862"/>
      <c r="F87" s="862"/>
      <c r="G87" s="862"/>
      <c r="H87" s="862"/>
      <c r="I87" s="861" t="s">
        <v>1257</v>
      </c>
      <c r="J87" s="862"/>
      <c r="K87" s="874"/>
      <c r="L87" s="864"/>
      <c r="M87" s="865">
        <f>SUM(L88:L91)</f>
        <v>177183533</v>
      </c>
      <c r="N87" s="874"/>
      <c r="O87" s="874"/>
      <c r="P87" s="876"/>
    </row>
    <row r="88" spans="1:20" ht="12.75">
      <c r="A88" s="797" t="s">
        <v>1215</v>
      </c>
      <c r="B88" s="798" t="s">
        <v>1215</v>
      </c>
      <c r="C88" s="798" t="s">
        <v>1256</v>
      </c>
      <c r="D88" s="798" t="s">
        <v>1256</v>
      </c>
      <c r="E88" s="798" t="s">
        <v>1220</v>
      </c>
      <c r="F88" s="798"/>
      <c r="G88" s="799"/>
      <c r="H88" s="799"/>
      <c r="I88" s="799" t="s">
        <v>1258</v>
      </c>
      <c r="J88" s="799"/>
      <c r="K88" s="800"/>
      <c r="L88" s="877">
        <v>157843717</v>
      </c>
      <c r="M88" s="801"/>
      <c r="N88" s="802"/>
      <c r="O88" s="802"/>
      <c r="P88" s="803"/>
      <c r="Q88" s="765"/>
      <c r="R88" s="773"/>
      <c r="S88" s="773"/>
      <c r="T88" s="773"/>
    </row>
    <row r="89" spans="1:16" ht="12.75">
      <c r="A89" s="769" t="s">
        <v>1215</v>
      </c>
      <c r="B89" s="768" t="s">
        <v>1215</v>
      </c>
      <c r="C89" s="768" t="s">
        <v>1256</v>
      </c>
      <c r="D89" s="768" t="s">
        <v>1256</v>
      </c>
      <c r="E89" s="768" t="s">
        <v>1223</v>
      </c>
      <c r="G89" s="768"/>
      <c r="H89" s="768"/>
      <c r="I89" s="768" t="s">
        <v>1259</v>
      </c>
      <c r="J89" s="768"/>
      <c r="K89" s="775"/>
      <c r="L89" s="771">
        <v>10359210</v>
      </c>
      <c r="M89" s="772"/>
      <c r="P89" s="774"/>
    </row>
    <row r="90" spans="1:16" ht="12.75">
      <c r="A90" s="769" t="s">
        <v>1215</v>
      </c>
      <c r="B90" s="768" t="s">
        <v>1215</v>
      </c>
      <c r="C90" s="768" t="s">
        <v>1256</v>
      </c>
      <c r="D90" s="768" t="s">
        <v>1256</v>
      </c>
      <c r="E90" s="768" t="s">
        <v>1228</v>
      </c>
      <c r="I90" s="540" t="s">
        <v>1260</v>
      </c>
      <c r="K90" s="775"/>
      <c r="L90" s="771">
        <v>8980605</v>
      </c>
      <c r="M90" s="772"/>
      <c r="P90" s="774"/>
    </row>
    <row r="91" spans="1:19" ht="13.5" thickBot="1">
      <c r="A91" s="804" t="str">
        <f>A90</f>
        <v>1.</v>
      </c>
      <c r="B91" s="792" t="str">
        <f>B90</f>
        <v>1.</v>
      </c>
      <c r="C91" s="792" t="str">
        <f>C90</f>
        <v>2.</v>
      </c>
      <c r="D91" s="792" t="str">
        <f>D90</f>
        <v>2.</v>
      </c>
      <c r="E91" s="792" t="s">
        <v>1232</v>
      </c>
      <c r="F91" s="792"/>
      <c r="G91" s="792"/>
      <c r="H91" s="792"/>
      <c r="I91" s="792" t="s">
        <v>1371</v>
      </c>
      <c r="J91" s="795"/>
      <c r="K91" s="805"/>
      <c r="L91" s="806">
        <v>1</v>
      </c>
      <c r="M91" s="807"/>
      <c r="N91" s="795"/>
      <c r="O91" s="795"/>
      <c r="P91" s="796"/>
      <c r="Q91" s="773"/>
      <c r="R91" s="773"/>
      <c r="S91" s="773"/>
    </row>
    <row r="92" spans="1:16" ht="13.5" thickBot="1">
      <c r="A92" s="853" t="s">
        <v>1215</v>
      </c>
      <c r="B92" s="854" t="s">
        <v>1256</v>
      </c>
      <c r="C92" s="854"/>
      <c r="D92" s="854"/>
      <c r="E92" s="854"/>
      <c r="F92" s="854"/>
      <c r="G92" s="854" t="s">
        <v>1317</v>
      </c>
      <c r="H92" s="855"/>
      <c r="I92" s="855"/>
      <c r="J92" s="855"/>
      <c r="K92" s="872"/>
      <c r="L92" s="857"/>
      <c r="M92" s="858"/>
      <c r="N92" s="854"/>
      <c r="O92" s="867">
        <f>SUM(N93:N105)</f>
        <v>67958790</v>
      </c>
      <c r="P92" s="859"/>
    </row>
    <row r="93" spans="1:159" s="898" customFormat="1" ht="13.5" thickBot="1">
      <c r="A93" s="890" t="s">
        <v>1215</v>
      </c>
      <c r="B93" s="891" t="s">
        <v>1256</v>
      </c>
      <c r="C93" s="891" t="s">
        <v>1215</v>
      </c>
      <c r="D93" s="891"/>
      <c r="E93" s="892"/>
      <c r="F93" s="892"/>
      <c r="G93" s="892"/>
      <c r="H93" s="891" t="s">
        <v>1318</v>
      </c>
      <c r="I93" s="892"/>
      <c r="J93" s="892"/>
      <c r="K93" s="893"/>
      <c r="L93" s="894"/>
      <c r="M93" s="895"/>
      <c r="N93" s="896">
        <f>SUM(M94)</f>
        <v>19002</v>
      </c>
      <c r="O93" s="891"/>
      <c r="P93" s="897"/>
      <c r="Q93" s="888"/>
      <c r="R93" s="888"/>
      <c r="S93" s="888"/>
      <c r="T93" s="888"/>
      <c r="U93" s="888"/>
      <c r="V93" s="888"/>
      <c r="W93" s="888"/>
      <c r="X93" s="888"/>
      <c r="Y93" s="888"/>
      <c r="Z93" s="888"/>
      <c r="AA93" s="888"/>
      <c r="AB93" s="888"/>
      <c r="AC93" s="888"/>
      <c r="AD93" s="888"/>
      <c r="AE93" s="888"/>
      <c r="AF93" s="888"/>
      <c r="AG93" s="888"/>
      <c r="AH93" s="888"/>
      <c r="AI93" s="888"/>
      <c r="AJ93" s="888"/>
      <c r="AK93" s="888"/>
      <c r="AL93" s="888"/>
      <c r="AM93" s="888"/>
      <c r="AN93" s="888"/>
      <c r="AO93" s="888"/>
      <c r="AP93" s="888"/>
      <c r="AQ93" s="888"/>
      <c r="AR93" s="888"/>
      <c r="AS93" s="888"/>
      <c r="AT93" s="888"/>
      <c r="AU93" s="888"/>
      <c r="AV93" s="888"/>
      <c r="AW93" s="888"/>
      <c r="AX93" s="888"/>
      <c r="AY93" s="888"/>
      <c r="AZ93" s="888"/>
      <c r="BA93" s="888"/>
      <c r="BB93" s="888"/>
      <c r="BC93" s="888"/>
      <c r="BD93" s="888"/>
      <c r="BE93" s="888"/>
      <c r="BF93" s="888"/>
      <c r="BG93" s="888"/>
      <c r="BH93" s="888"/>
      <c r="BI93" s="888"/>
      <c r="BJ93" s="888"/>
      <c r="BK93" s="888"/>
      <c r="BL93" s="888"/>
      <c r="BM93" s="888"/>
      <c r="BN93" s="888"/>
      <c r="BO93" s="888"/>
      <c r="BP93" s="888"/>
      <c r="BQ93" s="888"/>
      <c r="BR93" s="888"/>
      <c r="BS93" s="888"/>
      <c r="BT93" s="888"/>
      <c r="BU93" s="888"/>
      <c r="BV93" s="888"/>
      <c r="BW93" s="888"/>
      <c r="BX93" s="888"/>
      <c r="BY93" s="888"/>
      <c r="BZ93" s="888"/>
      <c r="CA93" s="888"/>
      <c r="CB93" s="888"/>
      <c r="CC93" s="888"/>
      <c r="CD93" s="888"/>
      <c r="CE93" s="888"/>
      <c r="CF93" s="888"/>
      <c r="CG93" s="888"/>
      <c r="CH93" s="888"/>
      <c r="CI93" s="888"/>
      <c r="CJ93" s="888"/>
      <c r="CK93" s="888"/>
      <c r="CL93" s="888"/>
      <c r="CM93" s="888"/>
      <c r="CN93" s="888"/>
      <c r="CO93" s="888"/>
      <c r="CP93" s="888"/>
      <c r="CQ93" s="888"/>
      <c r="CR93" s="888"/>
      <c r="CS93" s="888"/>
      <c r="CT93" s="888"/>
      <c r="CU93" s="888"/>
      <c r="CV93" s="888"/>
      <c r="CW93" s="888"/>
      <c r="CX93" s="888"/>
      <c r="CY93" s="888"/>
      <c r="CZ93" s="888"/>
      <c r="DA93" s="888"/>
      <c r="DB93" s="888"/>
      <c r="DC93" s="888"/>
      <c r="DD93" s="888"/>
      <c r="DE93" s="888"/>
      <c r="DF93" s="888"/>
      <c r="DG93" s="888"/>
      <c r="DH93" s="888"/>
      <c r="DI93" s="888"/>
      <c r="DJ93" s="888"/>
      <c r="DK93" s="888"/>
      <c r="DL93" s="888"/>
      <c r="DM93" s="888"/>
      <c r="DN93" s="888"/>
      <c r="DO93" s="888"/>
      <c r="DP93" s="888"/>
      <c r="DQ93" s="888"/>
      <c r="DR93" s="888"/>
      <c r="DS93" s="888"/>
      <c r="DT93" s="888"/>
      <c r="DU93" s="888"/>
      <c r="DV93" s="888"/>
      <c r="DW93" s="888"/>
      <c r="DX93" s="888"/>
      <c r="DY93" s="888"/>
      <c r="DZ93" s="888"/>
      <c r="EA93" s="888"/>
      <c r="EB93" s="888"/>
      <c r="EC93" s="888"/>
      <c r="ED93" s="888"/>
      <c r="EE93" s="888"/>
      <c r="EF93" s="888"/>
      <c r="EG93" s="888"/>
      <c r="EH93" s="888"/>
      <c r="EI93" s="888"/>
      <c r="EJ93" s="888"/>
      <c r="EK93" s="888"/>
      <c r="EL93" s="888"/>
      <c r="EM93" s="888"/>
      <c r="EN93" s="888"/>
      <c r="EO93" s="888"/>
      <c r="EP93" s="888"/>
      <c r="EQ93" s="888"/>
      <c r="ER93" s="888"/>
      <c r="ES93" s="888"/>
      <c r="ET93" s="888"/>
      <c r="EU93" s="888"/>
      <c r="EV93" s="888"/>
      <c r="EW93" s="888"/>
      <c r="EX93" s="888"/>
      <c r="EY93" s="888"/>
      <c r="EZ93" s="888"/>
      <c r="FA93" s="888"/>
      <c r="FB93" s="888"/>
      <c r="FC93" s="888"/>
    </row>
    <row r="94" spans="1:16" ht="13.5" thickBot="1">
      <c r="A94" s="860" t="s">
        <v>1215</v>
      </c>
      <c r="B94" s="861" t="s">
        <v>1256</v>
      </c>
      <c r="C94" s="861" t="s">
        <v>1215</v>
      </c>
      <c r="D94" s="861" t="s">
        <v>1215</v>
      </c>
      <c r="E94" s="862"/>
      <c r="F94" s="862"/>
      <c r="G94" s="861"/>
      <c r="H94" s="861"/>
      <c r="I94" s="861" t="s">
        <v>1319</v>
      </c>
      <c r="J94" s="861"/>
      <c r="K94" s="874"/>
      <c r="L94" s="864"/>
      <c r="M94" s="865">
        <f>SUM(L95:L97)</f>
        <v>19002</v>
      </c>
      <c r="N94" s="861"/>
      <c r="O94" s="861"/>
      <c r="P94" s="866"/>
    </row>
    <row r="95" spans="1:16" ht="12.75">
      <c r="A95" s="769" t="s">
        <v>1215</v>
      </c>
      <c r="B95" s="768" t="s">
        <v>1256</v>
      </c>
      <c r="C95" s="768" t="s">
        <v>1215</v>
      </c>
      <c r="D95" s="768" t="s">
        <v>1215</v>
      </c>
      <c r="E95" s="768" t="s">
        <v>1220</v>
      </c>
      <c r="I95" s="540" t="s">
        <v>1320</v>
      </c>
      <c r="K95" s="775"/>
      <c r="L95" s="771">
        <v>1</v>
      </c>
      <c r="M95" s="772"/>
      <c r="P95" s="774"/>
    </row>
    <row r="96" spans="1:16" ht="12.75">
      <c r="A96" s="769" t="s">
        <v>1215</v>
      </c>
      <c r="B96" s="768" t="s">
        <v>1256</v>
      </c>
      <c r="C96" s="768" t="s">
        <v>1215</v>
      </c>
      <c r="D96" s="768" t="s">
        <v>1215</v>
      </c>
      <c r="E96" s="768" t="s">
        <v>1223</v>
      </c>
      <c r="I96" s="540" t="s">
        <v>1321</v>
      </c>
      <c r="K96" s="775"/>
      <c r="L96" s="771">
        <v>19000</v>
      </c>
      <c r="M96" s="772"/>
      <c r="P96" s="774"/>
    </row>
    <row r="97" spans="1:16" ht="13.5" thickBot="1">
      <c r="A97" s="769" t="s">
        <v>1215</v>
      </c>
      <c r="B97" s="768" t="s">
        <v>1256</v>
      </c>
      <c r="C97" s="768" t="s">
        <v>1215</v>
      </c>
      <c r="D97" s="768" t="s">
        <v>1215</v>
      </c>
      <c r="E97" s="768" t="s">
        <v>1228</v>
      </c>
      <c r="G97" s="768"/>
      <c r="H97" s="768"/>
      <c r="I97" s="768" t="s">
        <v>1322</v>
      </c>
      <c r="J97" s="768"/>
      <c r="K97" s="775"/>
      <c r="L97" s="771">
        <v>1</v>
      </c>
      <c r="M97" s="772"/>
      <c r="P97" s="774"/>
    </row>
    <row r="98" spans="1:16" s="888" customFormat="1" ht="13.5" thickBot="1">
      <c r="A98" s="890" t="s">
        <v>1215</v>
      </c>
      <c r="B98" s="891" t="s">
        <v>1256</v>
      </c>
      <c r="C98" s="891" t="s">
        <v>1256</v>
      </c>
      <c r="D98" s="891"/>
      <c r="E98" s="891"/>
      <c r="F98" s="892"/>
      <c r="G98" s="892"/>
      <c r="H98" s="891" t="s">
        <v>1323</v>
      </c>
      <c r="I98" s="892"/>
      <c r="J98" s="892"/>
      <c r="K98" s="893"/>
      <c r="L98" s="894"/>
      <c r="M98" s="895"/>
      <c r="N98" s="896">
        <f>SUM(M99)</f>
        <v>67939788</v>
      </c>
      <c r="O98" s="891"/>
      <c r="P98" s="897"/>
    </row>
    <row r="99" spans="1:16" ht="13.5" thickBot="1">
      <c r="A99" s="860" t="s">
        <v>1215</v>
      </c>
      <c r="B99" s="861" t="s">
        <v>1256</v>
      </c>
      <c r="C99" s="861" t="s">
        <v>1256</v>
      </c>
      <c r="D99" s="861" t="s">
        <v>1215</v>
      </c>
      <c r="E99" s="861"/>
      <c r="F99" s="862"/>
      <c r="G99" s="861"/>
      <c r="H99" s="861"/>
      <c r="I99" s="861" t="s">
        <v>1324</v>
      </c>
      <c r="J99" s="861"/>
      <c r="K99" s="874"/>
      <c r="L99" s="864"/>
      <c r="M99" s="865">
        <f>SUM(L100:L105)</f>
        <v>67939788</v>
      </c>
      <c r="N99" s="861"/>
      <c r="O99" s="861"/>
      <c r="P99" s="866"/>
    </row>
    <row r="100" spans="1:16" ht="12.75">
      <c r="A100" s="769" t="s">
        <v>1215</v>
      </c>
      <c r="B100" s="768" t="s">
        <v>1256</v>
      </c>
      <c r="C100" s="768" t="s">
        <v>1256</v>
      </c>
      <c r="D100" s="768" t="s">
        <v>1215</v>
      </c>
      <c r="E100" s="768" t="s">
        <v>1220</v>
      </c>
      <c r="I100" s="768" t="s">
        <v>1306</v>
      </c>
      <c r="K100" s="775"/>
      <c r="L100" s="771">
        <f>SUM(K101:K103)</f>
        <v>67939786</v>
      </c>
      <c r="M100" s="772"/>
      <c r="P100" s="774"/>
    </row>
    <row r="101" spans="1:18" ht="12.75">
      <c r="A101" s="769" t="s">
        <v>1215</v>
      </c>
      <c r="B101" s="768" t="s">
        <v>1256</v>
      </c>
      <c r="C101" s="768" t="s">
        <v>1256</v>
      </c>
      <c r="D101" s="768" t="s">
        <v>1215</v>
      </c>
      <c r="E101" s="768" t="s">
        <v>1220</v>
      </c>
      <c r="F101" s="768" t="s">
        <v>1220</v>
      </c>
      <c r="I101" s="768"/>
      <c r="J101" s="768" t="s">
        <v>1325</v>
      </c>
      <c r="K101" s="775">
        <v>3600000</v>
      </c>
      <c r="L101" s="771"/>
      <c r="M101" s="772"/>
      <c r="P101" s="774"/>
      <c r="R101" s="770"/>
    </row>
    <row r="102" spans="1:16" ht="12.75">
      <c r="A102" s="769" t="s">
        <v>1215</v>
      </c>
      <c r="B102" s="768" t="s">
        <v>1256</v>
      </c>
      <c r="C102" s="768" t="s">
        <v>1256</v>
      </c>
      <c r="D102" s="768" t="s">
        <v>1215</v>
      </c>
      <c r="E102" s="768" t="s">
        <v>1220</v>
      </c>
      <c r="F102" s="768" t="s">
        <v>1223</v>
      </c>
      <c r="I102" s="768"/>
      <c r="J102" s="768" t="s">
        <v>1326</v>
      </c>
      <c r="K102" s="775">
        <v>64339785</v>
      </c>
      <c r="L102" s="771"/>
      <c r="M102" s="772"/>
      <c r="P102" s="774"/>
    </row>
    <row r="103" spans="1:16" ht="12.75">
      <c r="A103" s="769" t="s">
        <v>1215</v>
      </c>
      <c r="B103" s="768" t="s">
        <v>1256</v>
      </c>
      <c r="C103" s="768" t="s">
        <v>1256</v>
      </c>
      <c r="D103" s="768" t="s">
        <v>1215</v>
      </c>
      <c r="E103" s="768" t="s">
        <v>1220</v>
      </c>
      <c r="F103" s="768" t="s">
        <v>1228</v>
      </c>
      <c r="I103" s="768"/>
      <c r="J103" s="768" t="s">
        <v>1327</v>
      </c>
      <c r="K103" s="775">
        <v>1</v>
      </c>
      <c r="L103" s="771"/>
      <c r="M103" s="772"/>
      <c r="P103" s="774"/>
    </row>
    <row r="104" spans="1:16" ht="12.75">
      <c r="A104" s="769" t="s">
        <v>1215</v>
      </c>
      <c r="B104" s="768" t="s">
        <v>1256</v>
      </c>
      <c r="C104" s="768" t="s">
        <v>1328</v>
      </c>
      <c r="D104" s="768" t="s">
        <v>1215</v>
      </c>
      <c r="E104" s="768" t="s">
        <v>1223</v>
      </c>
      <c r="I104" s="540" t="s">
        <v>1315</v>
      </c>
      <c r="K104" s="775"/>
      <c r="L104" s="771">
        <v>1</v>
      </c>
      <c r="M104" s="772"/>
      <c r="P104" s="774"/>
    </row>
    <row r="105" spans="1:16" ht="13.5" thickBot="1">
      <c r="A105" s="769" t="s">
        <v>1215</v>
      </c>
      <c r="B105" s="768" t="s">
        <v>1256</v>
      </c>
      <c r="C105" s="768" t="s">
        <v>1328</v>
      </c>
      <c r="D105" s="768" t="s">
        <v>1215</v>
      </c>
      <c r="E105" s="768" t="s">
        <v>1228</v>
      </c>
      <c r="I105" s="768" t="s">
        <v>1316</v>
      </c>
      <c r="K105" s="775"/>
      <c r="L105" s="771">
        <v>1</v>
      </c>
      <c r="M105" s="772"/>
      <c r="P105" s="774"/>
    </row>
    <row r="106" spans="1:16" ht="13.5" thickBot="1">
      <c r="A106" s="853" t="s">
        <v>1215</v>
      </c>
      <c r="B106" s="854" t="s">
        <v>1328</v>
      </c>
      <c r="C106" s="854"/>
      <c r="D106" s="855"/>
      <c r="E106" s="855"/>
      <c r="F106" s="855"/>
      <c r="G106" s="854" t="s">
        <v>1329</v>
      </c>
      <c r="H106" s="855"/>
      <c r="I106" s="855"/>
      <c r="J106" s="855"/>
      <c r="K106" s="872"/>
      <c r="L106" s="857"/>
      <c r="M106" s="858"/>
      <c r="N106" s="854"/>
      <c r="O106" s="867">
        <f>SUM(N107:N128)</f>
        <v>12400011</v>
      </c>
      <c r="P106" s="859"/>
    </row>
    <row r="107" spans="1:159" s="898" customFormat="1" ht="13.5" thickBot="1">
      <c r="A107" s="890" t="s">
        <v>1215</v>
      </c>
      <c r="B107" s="891" t="s">
        <v>1328</v>
      </c>
      <c r="C107" s="891" t="s">
        <v>1215</v>
      </c>
      <c r="D107" s="891"/>
      <c r="E107" s="891"/>
      <c r="F107" s="891"/>
      <c r="G107" s="892"/>
      <c r="H107" s="891" t="s">
        <v>1330</v>
      </c>
      <c r="I107" s="892"/>
      <c r="J107" s="892"/>
      <c r="K107" s="893"/>
      <c r="L107" s="894"/>
      <c r="M107" s="895"/>
      <c r="N107" s="896">
        <f>SUM(M108:M120)</f>
        <v>12400006</v>
      </c>
      <c r="O107" s="891"/>
      <c r="P107" s="897"/>
      <c r="Q107" s="888"/>
      <c r="R107" s="888"/>
      <c r="S107" s="888"/>
      <c r="T107" s="888"/>
      <c r="U107" s="888"/>
      <c r="V107" s="888"/>
      <c r="W107" s="888"/>
      <c r="X107" s="888"/>
      <c r="Y107" s="888"/>
      <c r="Z107" s="888"/>
      <c r="AA107" s="888"/>
      <c r="AB107" s="888"/>
      <c r="AC107" s="888"/>
      <c r="AD107" s="888"/>
      <c r="AE107" s="888"/>
      <c r="AF107" s="888"/>
      <c r="AG107" s="888"/>
      <c r="AH107" s="888"/>
      <c r="AI107" s="888"/>
      <c r="AJ107" s="888"/>
      <c r="AK107" s="888"/>
      <c r="AL107" s="888"/>
      <c r="AM107" s="888"/>
      <c r="AN107" s="888"/>
      <c r="AO107" s="888"/>
      <c r="AP107" s="888"/>
      <c r="AQ107" s="888"/>
      <c r="AR107" s="888"/>
      <c r="AS107" s="888"/>
      <c r="AT107" s="888"/>
      <c r="AU107" s="888"/>
      <c r="AV107" s="888"/>
      <c r="AW107" s="888"/>
      <c r="AX107" s="888"/>
      <c r="AY107" s="888"/>
      <c r="AZ107" s="888"/>
      <c r="BA107" s="888"/>
      <c r="BB107" s="888"/>
      <c r="BC107" s="888"/>
      <c r="BD107" s="888"/>
      <c r="BE107" s="888"/>
      <c r="BF107" s="888"/>
      <c r="BG107" s="888"/>
      <c r="BH107" s="888"/>
      <c r="BI107" s="888"/>
      <c r="BJ107" s="888"/>
      <c r="BK107" s="888"/>
      <c r="BL107" s="888"/>
      <c r="BM107" s="888"/>
      <c r="BN107" s="888"/>
      <c r="BO107" s="888"/>
      <c r="BP107" s="888"/>
      <c r="BQ107" s="888"/>
      <c r="BR107" s="888"/>
      <c r="BS107" s="888"/>
      <c r="BT107" s="888"/>
      <c r="BU107" s="888"/>
      <c r="BV107" s="888"/>
      <c r="BW107" s="888"/>
      <c r="BX107" s="888"/>
      <c r="BY107" s="888"/>
      <c r="BZ107" s="888"/>
      <c r="CA107" s="888"/>
      <c r="CB107" s="888"/>
      <c r="CC107" s="888"/>
      <c r="CD107" s="888"/>
      <c r="CE107" s="888"/>
      <c r="CF107" s="888"/>
      <c r="CG107" s="888"/>
      <c r="CH107" s="888"/>
      <c r="CI107" s="888"/>
      <c r="CJ107" s="888"/>
      <c r="CK107" s="888"/>
      <c r="CL107" s="888"/>
      <c r="CM107" s="888"/>
      <c r="CN107" s="888"/>
      <c r="CO107" s="888"/>
      <c r="CP107" s="888"/>
      <c r="CQ107" s="888"/>
      <c r="CR107" s="888"/>
      <c r="CS107" s="888"/>
      <c r="CT107" s="888"/>
      <c r="CU107" s="888"/>
      <c r="CV107" s="888"/>
      <c r="CW107" s="888"/>
      <c r="CX107" s="888"/>
      <c r="CY107" s="888"/>
      <c r="CZ107" s="888"/>
      <c r="DA107" s="888"/>
      <c r="DB107" s="888"/>
      <c r="DC107" s="888"/>
      <c r="DD107" s="888"/>
      <c r="DE107" s="888"/>
      <c r="DF107" s="888"/>
      <c r="DG107" s="888"/>
      <c r="DH107" s="888"/>
      <c r="DI107" s="888"/>
      <c r="DJ107" s="888"/>
      <c r="DK107" s="888"/>
      <c r="DL107" s="888"/>
      <c r="DM107" s="888"/>
      <c r="DN107" s="888"/>
      <c r="DO107" s="888"/>
      <c r="DP107" s="888"/>
      <c r="DQ107" s="888"/>
      <c r="DR107" s="888"/>
      <c r="DS107" s="888"/>
      <c r="DT107" s="888"/>
      <c r="DU107" s="888"/>
      <c r="DV107" s="888"/>
      <c r="DW107" s="888"/>
      <c r="DX107" s="888"/>
      <c r="DY107" s="888"/>
      <c r="DZ107" s="888"/>
      <c r="EA107" s="888"/>
      <c r="EB107" s="888"/>
      <c r="EC107" s="888"/>
      <c r="ED107" s="888"/>
      <c r="EE107" s="888"/>
      <c r="EF107" s="888"/>
      <c r="EG107" s="888"/>
      <c r="EH107" s="888"/>
      <c r="EI107" s="888"/>
      <c r="EJ107" s="888"/>
      <c r="EK107" s="888"/>
      <c r="EL107" s="888"/>
      <c r="EM107" s="888"/>
      <c r="EN107" s="888"/>
      <c r="EO107" s="888"/>
      <c r="EP107" s="888"/>
      <c r="EQ107" s="888"/>
      <c r="ER107" s="888"/>
      <c r="ES107" s="888"/>
      <c r="ET107" s="888"/>
      <c r="EU107" s="888"/>
      <c r="EV107" s="888"/>
      <c r="EW107" s="888"/>
      <c r="EX107" s="888"/>
      <c r="EY107" s="888"/>
      <c r="EZ107" s="888"/>
      <c r="FA107" s="888"/>
      <c r="FB107" s="888"/>
      <c r="FC107" s="888"/>
    </row>
    <row r="108" spans="1:16" ht="13.5" thickBot="1">
      <c r="A108" s="860" t="s">
        <v>1215</v>
      </c>
      <c r="B108" s="861" t="s">
        <v>1328</v>
      </c>
      <c r="C108" s="861" t="s">
        <v>1215</v>
      </c>
      <c r="D108" s="861" t="s">
        <v>1215</v>
      </c>
      <c r="E108" s="861"/>
      <c r="F108" s="861"/>
      <c r="G108" s="861"/>
      <c r="H108" s="861"/>
      <c r="I108" s="861" t="s">
        <v>1331</v>
      </c>
      <c r="J108" s="861"/>
      <c r="K108" s="874"/>
      <c r="L108" s="864"/>
      <c r="M108" s="865">
        <f>SUM(L109)</f>
        <v>10000000</v>
      </c>
      <c r="N108" s="861"/>
      <c r="O108" s="861"/>
      <c r="P108" s="866"/>
    </row>
    <row r="109" spans="1:16" ht="13.5" thickBot="1">
      <c r="A109" s="769" t="s">
        <v>1215</v>
      </c>
      <c r="B109" s="768" t="s">
        <v>1328</v>
      </c>
      <c r="C109" s="768" t="s">
        <v>1215</v>
      </c>
      <c r="D109" s="768" t="s">
        <v>1215</v>
      </c>
      <c r="E109" s="768" t="s">
        <v>1220</v>
      </c>
      <c r="G109" s="768"/>
      <c r="H109" s="768"/>
      <c r="I109" s="768" t="s">
        <v>1332</v>
      </c>
      <c r="J109" s="768"/>
      <c r="K109" s="775"/>
      <c r="L109" s="771">
        <v>10000000</v>
      </c>
      <c r="M109" s="772"/>
      <c r="P109" s="774"/>
    </row>
    <row r="110" spans="1:16" ht="13.5" thickBot="1">
      <c r="A110" s="860" t="s">
        <v>1215</v>
      </c>
      <c r="B110" s="861" t="s">
        <v>1328</v>
      </c>
      <c r="C110" s="861" t="s">
        <v>1215</v>
      </c>
      <c r="D110" s="861" t="s">
        <v>1256</v>
      </c>
      <c r="E110" s="862"/>
      <c r="F110" s="862"/>
      <c r="G110" s="861"/>
      <c r="H110" s="861"/>
      <c r="I110" s="861" t="s">
        <v>1333</v>
      </c>
      <c r="J110" s="861"/>
      <c r="K110" s="874"/>
      <c r="L110" s="864"/>
      <c r="M110" s="865">
        <f>SUM(L111:L113)</f>
        <v>2400002</v>
      </c>
      <c r="N110" s="861"/>
      <c r="O110" s="861"/>
      <c r="P110" s="866"/>
    </row>
    <row r="111" spans="1:16" ht="12.75">
      <c r="A111" s="769" t="s">
        <v>1215</v>
      </c>
      <c r="B111" s="768" t="s">
        <v>1328</v>
      </c>
      <c r="C111" s="768" t="s">
        <v>1215</v>
      </c>
      <c r="D111" s="768" t="s">
        <v>1256</v>
      </c>
      <c r="E111" s="768" t="s">
        <v>1220</v>
      </c>
      <c r="I111" s="540" t="s">
        <v>1334</v>
      </c>
      <c r="K111" s="775"/>
      <c r="L111" s="771">
        <v>1</v>
      </c>
      <c r="M111" s="772"/>
      <c r="P111" s="774"/>
    </row>
    <row r="112" spans="1:16" ht="12.75">
      <c r="A112" s="769" t="s">
        <v>1215</v>
      </c>
      <c r="B112" s="768" t="s">
        <v>1328</v>
      </c>
      <c r="C112" s="768" t="s">
        <v>1215</v>
      </c>
      <c r="D112" s="768" t="s">
        <v>1256</v>
      </c>
      <c r="E112" s="768" t="s">
        <v>1223</v>
      </c>
      <c r="I112" s="540" t="s">
        <v>1335</v>
      </c>
      <c r="K112" s="775"/>
      <c r="L112" s="771">
        <v>2400000</v>
      </c>
      <c r="M112" s="772"/>
      <c r="P112" s="774"/>
    </row>
    <row r="113" spans="1:16" ht="13.5" thickBot="1">
      <c r="A113" s="769" t="s">
        <v>1215</v>
      </c>
      <c r="B113" s="768" t="s">
        <v>1328</v>
      </c>
      <c r="C113" s="768" t="s">
        <v>1215</v>
      </c>
      <c r="D113" s="768" t="s">
        <v>1256</v>
      </c>
      <c r="E113" s="768" t="s">
        <v>1228</v>
      </c>
      <c r="I113" s="540" t="s">
        <v>1336</v>
      </c>
      <c r="K113" s="775"/>
      <c r="L113" s="771">
        <v>1</v>
      </c>
      <c r="M113" s="772"/>
      <c r="P113" s="774"/>
    </row>
    <row r="114" spans="1:16" ht="13.5" thickBot="1">
      <c r="A114" s="860" t="s">
        <v>1215</v>
      </c>
      <c r="B114" s="861" t="s">
        <v>1328</v>
      </c>
      <c r="C114" s="861" t="s">
        <v>1215</v>
      </c>
      <c r="D114" s="861" t="s">
        <v>1328</v>
      </c>
      <c r="E114" s="862"/>
      <c r="F114" s="862"/>
      <c r="G114" s="861"/>
      <c r="H114" s="861"/>
      <c r="I114" s="861" t="s">
        <v>1337</v>
      </c>
      <c r="J114" s="862"/>
      <c r="K114" s="874"/>
      <c r="L114" s="864"/>
      <c r="M114" s="865">
        <f>SUM(L115)</f>
        <v>1</v>
      </c>
      <c r="N114" s="861"/>
      <c r="O114" s="861"/>
      <c r="P114" s="866"/>
    </row>
    <row r="115" spans="1:16" ht="13.5" thickBot="1">
      <c r="A115" s="769" t="s">
        <v>1215</v>
      </c>
      <c r="B115" s="768" t="s">
        <v>1328</v>
      </c>
      <c r="C115" s="768" t="s">
        <v>1215</v>
      </c>
      <c r="D115" s="768" t="s">
        <v>1328</v>
      </c>
      <c r="E115" s="768" t="s">
        <v>1220</v>
      </c>
      <c r="G115" s="768"/>
      <c r="H115" s="768"/>
      <c r="I115" s="768" t="s">
        <v>1338</v>
      </c>
      <c r="J115" s="768"/>
      <c r="K115" s="775"/>
      <c r="L115" s="771">
        <v>1</v>
      </c>
      <c r="M115" s="772"/>
      <c r="P115" s="774"/>
    </row>
    <row r="116" spans="1:16" ht="13.5" thickBot="1">
      <c r="A116" s="860" t="s">
        <v>1215</v>
      </c>
      <c r="B116" s="861" t="s">
        <v>1328</v>
      </c>
      <c r="C116" s="861" t="s">
        <v>1215</v>
      </c>
      <c r="D116" s="861" t="s">
        <v>1339</v>
      </c>
      <c r="E116" s="862"/>
      <c r="F116" s="862"/>
      <c r="G116" s="861"/>
      <c r="H116" s="861"/>
      <c r="I116" s="861" t="s">
        <v>1340</v>
      </c>
      <c r="J116" s="862"/>
      <c r="K116" s="874"/>
      <c r="L116" s="864"/>
      <c r="M116" s="865">
        <f>SUM(L117)</f>
        <v>1</v>
      </c>
      <c r="N116" s="861"/>
      <c r="O116" s="861"/>
      <c r="P116" s="866"/>
    </row>
    <row r="117" spans="1:16" ht="13.5" thickBot="1">
      <c r="A117" s="769" t="s">
        <v>1215</v>
      </c>
      <c r="B117" s="768" t="s">
        <v>1328</v>
      </c>
      <c r="C117" s="768" t="s">
        <v>1215</v>
      </c>
      <c r="D117" s="768" t="s">
        <v>1339</v>
      </c>
      <c r="E117" s="768" t="s">
        <v>1220</v>
      </c>
      <c r="G117" s="768"/>
      <c r="H117" s="768"/>
      <c r="I117" s="768" t="s">
        <v>1341</v>
      </c>
      <c r="J117" s="768"/>
      <c r="K117" s="775"/>
      <c r="L117" s="771">
        <v>1</v>
      </c>
      <c r="M117" s="772"/>
      <c r="P117" s="774"/>
    </row>
    <row r="118" spans="1:16" ht="13.5" thickBot="1">
      <c r="A118" s="860" t="s">
        <v>1215</v>
      </c>
      <c r="B118" s="861" t="s">
        <v>1328</v>
      </c>
      <c r="C118" s="861" t="s">
        <v>1215</v>
      </c>
      <c r="D118" s="861" t="s">
        <v>1342</v>
      </c>
      <c r="E118" s="862"/>
      <c r="F118" s="862"/>
      <c r="G118" s="861"/>
      <c r="H118" s="861"/>
      <c r="I118" s="861" t="s">
        <v>1343</v>
      </c>
      <c r="J118" s="862"/>
      <c r="K118" s="874"/>
      <c r="L118" s="864"/>
      <c r="M118" s="865">
        <f>SUM(L119:L120)</f>
        <v>2</v>
      </c>
      <c r="N118" s="861"/>
      <c r="O118" s="861"/>
      <c r="P118" s="866"/>
    </row>
    <row r="119" spans="1:16" ht="12.75">
      <c r="A119" s="769" t="s">
        <v>1215</v>
      </c>
      <c r="B119" s="768" t="s">
        <v>1328</v>
      </c>
      <c r="C119" s="768" t="s">
        <v>1215</v>
      </c>
      <c r="D119" s="768" t="s">
        <v>1342</v>
      </c>
      <c r="E119" s="768" t="s">
        <v>1220</v>
      </c>
      <c r="G119" s="768"/>
      <c r="H119" s="768"/>
      <c r="I119" s="768" t="s">
        <v>1344</v>
      </c>
      <c r="J119" s="768"/>
      <c r="K119" s="775"/>
      <c r="L119" s="771">
        <v>1</v>
      </c>
      <c r="M119" s="772"/>
      <c r="P119" s="774"/>
    </row>
    <row r="120" spans="1:16" ht="13.5" thickBot="1">
      <c r="A120" s="769" t="s">
        <v>1215</v>
      </c>
      <c r="B120" s="768" t="s">
        <v>1328</v>
      </c>
      <c r="C120" s="768" t="s">
        <v>1215</v>
      </c>
      <c r="D120" s="768" t="s">
        <v>1342</v>
      </c>
      <c r="E120" s="768" t="s">
        <v>1223</v>
      </c>
      <c r="G120" s="768"/>
      <c r="H120" s="768"/>
      <c r="I120" s="768" t="s">
        <v>1345</v>
      </c>
      <c r="J120" s="768"/>
      <c r="K120" s="775"/>
      <c r="L120" s="771">
        <v>1</v>
      </c>
      <c r="M120" s="772"/>
      <c r="P120" s="774"/>
    </row>
    <row r="121" spans="1:159" s="898" customFormat="1" ht="13.5" thickBot="1">
      <c r="A121" s="890" t="s">
        <v>1215</v>
      </c>
      <c r="B121" s="891" t="s">
        <v>1328</v>
      </c>
      <c r="C121" s="891" t="s">
        <v>1256</v>
      </c>
      <c r="D121" s="891"/>
      <c r="E121" s="891"/>
      <c r="F121" s="892"/>
      <c r="G121" s="892"/>
      <c r="H121" s="891" t="s">
        <v>1346</v>
      </c>
      <c r="I121" s="892"/>
      <c r="J121" s="892"/>
      <c r="K121" s="893"/>
      <c r="L121" s="894"/>
      <c r="M121" s="895"/>
      <c r="N121" s="896">
        <f>SUM(M122:M129)</f>
        <v>5</v>
      </c>
      <c r="O121" s="891"/>
      <c r="P121" s="897"/>
      <c r="Q121" s="888"/>
      <c r="R121" s="888"/>
      <c r="S121" s="888"/>
      <c r="T121" s="888"/>
      <c r="U121" s="888"/>
      <c r="V121" s="888"/>
      <c r="W121" s="888"/>
      <c r="X121" s="888"/>
      <c r="Y121" s="888"/>
      <c r="Z121" s="888"/>
      <c r="AA121" s="888"/>
      <c r="AB121" s="888"/>
      <c r="AC121" s="888"/>
      <c r="AD121" s="888"/>
      <c r="AE121" s="888"/>
      <c r="AF121" s="888"/>
      <c r="AG121" s="888"/>
      <c r="AH121" s="888"/>
      <c r="AI121" s="888"/>
      <c r="AJ121" s="888"/>
      <c r="AK121" s="888"/>
      <c r="AL121" s="888"/>
      <c r="AM121" s="888"/>
      <c r="AN121" s="888"/>
      <c r="AO121" s="888"/>
      <c r="AP121" s="888"/>
      <c r="AQ121" s="888"/>
      <c r="AR121" s="888"/>
      <c r="AS121" s="888"/>
      <c r="AT121" s="888"/>
      <c r="AU121" s="888"/>
      <c r="AV121" s="888"/>
      <c r="AW121" s="888"/>
      <c r="AX121" s="888"/>
      <c r="AY121" s="888"/>
      <c r="AZ121" s="888"/>
      <c r="BA121" s="888"/>
      <c r="BB121" s="888"/>
      <c r="BC121" s="888"/>
      <c r="BD121" s="888"/>
      <c r="BE121" s="888"/>
      <c r="BF121" s="888"/>
      <c r="BG121" s="888"/>
      <c r="BH121" s="888"/>
      <c r="BI121" s="888"/>
      <c r="BJ121" s="888"/>
      <c r="BK121" s="888"/>
      <c r="BL121" s="888"/>
      <c r="BM121" s="888"/>
      <c r="BN121" s="888"/>
      <c r="BO121" s="888"/>
      <c r="BP121" s="888"/>
      <c r="BQ121" s="888"/>
      <c r="BR121" s="888"/>
      <c r="BS121" s="888"/>
      <c r="BT121" s="888"/>
      <c r="BU121" s="888"/>
      <c r="BV121" s="888"/>
      <c r="BW121" s="888"/>
      <c r="BX121" s="888"/>
      <c r="BY121" s="888"/>
      <c r="BZ121" s="888"/>
      <c r="CA121" s="888"/>
      <c r="CB121" s="888"/>
      <c r="CC121" s="888"/>
      <c r="CD121" s="888"/>
      <c r="CE121" s="888"/>
      <c r="CF121" s="888"/>
      <c r="CG121" s="888"/>
      <c r="CH121" s="888"/>
      <c r="CI121" s="888"/>
      <c r="CJ121" s="888"/>
      <c r="CK121" s="888"/>
      <c r="CL121" s="888"/>
      <c r="CM121" s="888"/>
      <c r="CN121" s="888"/>
      <c r="CO121" s="888"/>
      <c r="CP121" s="888"/>
      <c r="CQ121" s="888"/>
      <c r="CR121" s="888"/>
      <c r="CS121" s="888"/>
      <c r="CT121" s="888"/>
      <c r="CU121" s="888"/>
      <c r="CV121" s="888"/>
      <c r="CW121" s="888"/>
      <c r="CX121" s="888"/>
      <c r="CY121" s="888"/>
      <c r="CZ121" s="888"/>
      <c r="DA121" s="888"/>
      <c r="DB121" s="888"/>
      <c r="DC121" s="888"/>
      <c r="DD121" s="888"/>
      <c r="DE121" s="888"/>
      <c r="DF121" s="888"/>
      <c r="DG121" s="888"/>
      <c r="DH121" s="888"/>
      <c r="DI121" s="888"/>
      <c r="DJ121" s="888"/>
      <c r="DK121" s="888"/>
      <c r="DL121" s="888"/>
      <c r="DM121" s="888"/>
      <c r="DN121" s="888"/>
      <c r="DO121" s="888"/>
      <c r="DP121" s="888"/>
      <c r="DQ121" s="888"/>
      <c r="DR121" s="888"/>
      <c r="DS121" s="888"/>
      <c r="DT121" s="888"/>
      <c r="DU121" s="888"/>
      <c r="DV121" s="888"/>
      <c r="DW121" s="888"/>
      <c r="DX121" s="888"/>
      <c r="DY121" s="888"/>
      <c r="DZ121" s="888"/>
      <c r="EA121" s="888"/>
      <c r="EB121" s="888"/>
      <c r="EC121" s="888"/>
      <c r="ED121" s="888"/>
      <c r="EE121" s="888"/>
      <c r="EF121" s="888"/>
      <c r="EG121" s="888"/>
      <c r="EH121" s="888"/>
      <c r="EI121" s="888"/>
      <c r="EJ121" s="888"/>
      <c r="EK121" s="888"/>
      <c r="EL121" s="888"/>
      <c r="EM121" s="888"/>
      <c r="EN121" s="888"/>
      <c r="EO121" s="888"/>
      <c r="EP121" s="888"/>
      <c r="EQ121" s="888"/>
      <c r="ER121" s="888"/>
      <c r="ES121" s="888"/>
      <c r="ET121" s="888"/>
      <c r="EU121" s="888"/>
      <c r="EV121" s="888"/>
      <c r="EW121" s="888"/>
      <c r="EX121" s="888"/>
      <c r="EY121" s="888"/>
      <c r="EZ121" s="888"/>
      <c r="FA121" s="888"/>
      <c r="FB121" s="888"/>
      <c r="FC121" s="888"/>
    </row>
    <row r="122" spans="1:16" ht="13.5" thickBot="1">
      <c r="A122" s="860" t="s">
        <v>1215</v>
      </c>
      <c r="B122" s="861" t="s">
        <v>1328</v>
      </c>
      <c r="C122" s="861" t="s">
        <v>1256</v>
      </c>
      <c r="D122" s="861" t="s">
        <v>1215</v>
      </c>
      <c r="E122" s="861"/>
      <c r="F122" s="862"/>
      <c r="G122" s="862"/>
      <c r="H122" s="861"/>
      <c r="I122" s="861" t="s">
        <v>1347</v>
      </c>
      <c r="J122" s="862"/>
      <c r="K122" s="874"/>
      <c r="L122" s="864"/>
      <c r="M122" s="865">
        <f>SUM(L123:L125)</f>
        <v>3</v>
      </c>
      <c r="N122" s="861"/>
      <c r="O122" s="861"/>
      <c r="P122" s="866"/>
    </row>
    <row r="123" spans="1:16" ht="12.75">
      <c r="A123" s="769" t="s">
        <v>1215</v>
      </c>
      <c r="B123" s="768" t="s">
        <v>1328</v>
      </c>
      <c r="C123" s="768" t="s">
        <v>1256</v>
      </c>
      <c r="D123" s="768" t="s">
        <v>1215</v>
      </c>
      <c r="E123" s="768" t="s">
        <v>1220</v>
      </c>
      <c r="G123" s="768"/>
      <c r="H123" s="768"/>
      <c r="I123" s="768" t="s">
        <v>1348</v>
      </c>
      <c r="L123" s="771">
        <v>1</v>
      </c>
      <c r="M123" s="772"/>
      <c r="P123" s="774"/>
    </row>
    <row r="124" spans="1:16" ht="12.75">
      <c r="A124" s="769" t="s">
        <v>1215</v>
      </c>
      <c r="B124" s="768" t="s">
        <v>1328</v>
      </c>
      <c r="C124" s="768" t="s">
        <v>1256</v>
      </c>
      <c r="D124" s="768" t="s">
        <v>1215</v>
      </c>
      <c r="E124" s="768" t="s">
        <v>1223</v>
      </c>
      <c r="G124" s="768"/>
      <c r="H124" s="768"/>
      <c r="I124" s="768" t="s">
        <v>1349</v>
      </c>
      <c r="J124" s="768"/>
      <c r="K124" s="775"/>
      <c r="L124" s="771">
        <v>1</v>
      </c>
      <c r="M124" s="772"/>
      <c r="P124" s="774"/>
    </row>
    <row r="125" spans="1:16" ht="13.5" thickBot="1">
      <c r="A125" s="769" t="str">
        <f>A122</f>
        <v>1.</v>
      </c>
      <c r="B125" s="768" t="str">
        <f>B122</f>
        <v>3.</v>
      </c>
      <c r="C125" s="768" t="str">
        <f>C122</f>
        <v>2.</v>
      </c>
      <c r="D125" s="768" t="str">
        <f>D122</f>
        <v>1.</v>
      </c>
      <c r="E125" s="768" t="s">
        <v>1228</v>
      </c>
      <c r="G125" s="768"/>
      <c r="H125" s="768"/>
      <c r="I125" s="768" t="s">
        <v>1350</v>
      </c>
      <c r="J125" s="768"/>
      <c r="K125" s="775"/>
      <c r="L125" s="771">
        <v>1</v>
      </c>
      <c r="M125" s="772"/>
      <c r="P125" s="774"/>
    </row>
    <row r="126" spans="1:16" ht="13.5" thickBot="1">
      <c r="A126" s="860" t="s">
        <v>1215</v>
      </c>
      <c r="B126" s="861" t="s">
        <v>1328</v>
      </c>
      <c r="C126" s="861" t="s">
        <v>1256</v>
      </c>
      <c r="D126" s="861" t="s">
        <v>1256</v>
      </c>
      <c r="E126" s="861"/>
      <c r="F126" s="862"/>
      <c r="G126" s="862"/>
      <c r="H126" s="861"/>
      <c r="I126" s="861" t="s">
        <v>1351</v>
      </c>
      <c r="J126" s="862"/>
      <c r="K126" s="874"/>
      <c r="L126" s="864"/>
      <c r="M126" s="865">
        <f>SUM(L127:L128)</f>
        <v>2</v>
      </c>
      <c r="N126" s="861"/>
      <c r="O126" s="861"/>
      <c r="P126" s="866"/>
    </row>
    <row r="127" spans="1:16" ht="12.75">
      <c r="A127" s="769" t="s">
        <v>1215</v>
      </c>
      <c r="B127" s="768" t="s">
        <v>1328</v>
      </c>
      <c r="C127" s="768" t="s">
        <v>1256</v>
      </c>
      <c r="D127" s="768" t="s">
        <v>1256</v>
      </c>
      <c r="E127" s="768" t="s">
        <v>1220</v>
      </c>
      <c r="I127" s="768" t="s">
        <v>1352</v>
      </c>
      <c r="J127" s="768"/>
      <c r="K127" s="775"/>
      <c r="L127" s="771">
        <v>1</v>
      </c>
      <c r="M127" s="772"/>
      <c r="P127" s="774"/>
    </row>
    <row r="128" spans="1:16" ht="13.5" thickBot="1">
      <c r="A128" s="769" t="s">
        <v>1215</v>
      </c>
      <c r="B128" s="768" t="s">
        <v>1328</v>
      </c>
      <c r="C128" s="768" t="s">
        <v>1256</v>
      </c>
      <c r="D128" s="768" t="s">
        <v>1256</v>
      </c>
      <c r="E128" s="768" t="s">
        <v>1223</v>
      </c>
      <c r="I128" s="540" t="s">
        <v>1353</v>
      </c>
      <c r="K128" s="775"/>
      <c r="L128" s="771">
        <v>1</v>
      </c>
      <c r="M128" s="772"/>
      <c r="P128" s="774"/>
    </row>
    <row r="129" spans="1:16" ht="13.5" thickBot="1">
      <c r="A129" s="853" t="s">
        <v>1215</v>
      </c>
      <c r="B129" s="854" t="s">
        <v>1339</v>
      </c>
      <c r="C129" s="855"/>
      <c r="D129" s="855"/>
      <c r="E129" s="855"/>
      <c r="F129" s="855"/>
      <c r="G129" s="854" t="s">
        <v>701</v>
      </c>
      <c r="H129" s="854"/>
      <c r="I129" s="855"/>
      <c r="J129" s="855"/>
      <c r="K129" s="872"/>
      <c r="L129" s="857"/>
      <c r="M129" s="858"/>
      <c r="N129" s="867"/>
      <c r="O129" s="867">
        <f>SUM(N130)</f>
        <v>1663130</v>
      </c>
      <c r="P129" s="873"/>
    </row>
    <row r="130" spans="1:159" s="898" customFormat="1" ht="13.5" thickBot="1">
      <c r="A130" s="899" t="s">
        <v>1215</v>
      </c>
      <c r="B130" s="900" t="s">
        <v>1339</v>
      </c>
      <c r="C130" s="900" t="s">
        <v>1215</v>
      </c>
      <c r="D130" s="900"/>
      <c r="E130" s="900"/>
      <c r="F130" s="900"/>
      <c r="G130" s="900"/>
      <c r="H130" s="900" t="s">
        <v>1354</v>
      </c>
      <c r="I130" s="900"/>
      <c r="J130" s="901"/>
      <c r="K130" s="902"/>
      <c r="L130" s="903"/>
      <c r="M130" s="903"/>
      <c r="N130" s="904">
        <v>1663130</v>
      </c>
      <c r="O130" s="904"/>
      <c r="P130" s="905"/>
      <c r="Q130" s="888"/>
      <c r="R130" s="888"/>
      <c r="S130" s="888"/>
      <c r="T130" s="888"/>
      <c r="U130" s="888"/>
      <c r="V130" s="888"/>
      <c r="W130" s="888"/>
      <c r="X130" s="888"/>
      <c r="Y130" s="888"/>
      <c r="Z130" s="888"/>
      <c r="AA130" s="888"/>
      <c r="AB130" s="888"/>
      <c r="AC130" s="888"/>
      <c r="AD130" s="888"/>
      <c r="AE130" s="888"/>
      <c r="AF130" s="888"/>
      <c r="AG130" s="888"/>
      <c r="AH130" s="888"/>
      <c r="AI130" s="888"/>
      <c r="AJ130" s="888"/>
      <c r="AK130" s="888"/>
      <c r="AL130" s="888"/>
      <c r="AM130" s="888"/>
      <c r="AN130" s="888"/>
      <c r="AO130" s="888"/>
      <c r="AP130" s="888"/>
      <c r="AQ130" s="888"/>
      <c r="AR130" s="888"/>
      <c r="AS130" s="888"/>
      <c r="AT130" s="888"/>
      <c r="AU130" s="888"/>
      <c r="AV130" s="888"/>
      <c r="AW130" s="888"/>
      <c r="AX130" s="888"/>
      <c r="AY130" s="888"/>
      <c r="AZ130" s="888"/>
      <c r="BA130" s="888"/>
      <c r="BB130" s="888"/>
      <c r="BC130" s="888"/>
      <c r="BD130" s="888"/>
      <c r="BE130" s="888"/>
      <c r="BF130" s="888"/>
      <c r="BG130" s="888"/>
      <c r="BH130" s="888"/>
      <c r="BI130" s="888"/>
      <c r="BJ130" s="888"/>
      <c r="BK130" s="888"/>
      <c r="BL130" s="888"/>
      <c r="BM130" s="888"/>
      <c r="BN130" s="888"/>
      <c r="BO130" s="888"/>
      <c r="BP130" s="888"/>
      <c r="BQ130" s="888"/>
      <c r="BR130" s="888"/>
      <c r="BS130" s="888"/>
      <c r="BT130" s="888"/>
      <c r="BU130" s="888"/>
      <c r="BV130" s="888"/>
      <c r="BW130" s="888"/>
      <c r="BX130" s="888"/>
      <c r="BY130" s="888"/>
      <c r="BZ130" s="888"/>
      <c r="CA130" s="888"/>
      <c r="CB130" s="888"/>
      <c r="CC130" s="888"/>
      <c r="CD130" s="888"/>
      <c r="CE130" s="888"/>
      <c r="CF130" s="888"/>
      <c r="CG130" s="888"/>
      <c r="CH130" s="888"/>
      <c r="CI130" s="888"/>
      <c r="CJ130" s="888"/>
      <c r="CK130" s="888"/>
      <c r="CL130" s="888"/>
      <c r="CM130" s="888"/>
      <c r="CN130" s="888"/>
      <c r="CO130" s="888"/>
      <c r="CP130" s="888"/>
      <c r="CQ130" s="888"/>
      <c r="CR130" s="888"/>
      <c r="CS130" s="888"/>
      <c r="CT130" s="888"/>
      <c r="CU130" s="888"/>
      <c r="CV130" s="888"/>
      <c r="CW130" s="888"/>
      <c r="CX130" s="888"/>
      <c r="CY130" s="888"/>
      <c r="CZ130" s="888"/>
      <c r="DA130" s="888"/>
      <c r="DB130" s="888"/>
      <c r="DC130" s="888"/>
      <c r="DD130" s="888"/>
      <c r="DE130" s="888"/>
      <c r="DF130" s="888"/>
      <c r="DG130" s="888"/>
      <c r="DH130" s="888"/>
      <c r="DI130" s="888"/>
      <c r="DJ130" s="888"/>
      <c r="DK130" s="888"/>
      <c r="DL130" s="888"/>
      <c r="DM130" s="888"/>
      <c r="DN130" s="888"/>
      <c r="DO130" s="888"/>
      <c r="DP130" s="888"/>
      <c r="DQ130" s="888"/>
      <c r="DR130" s="888"/>
      <c r="DS130" s="888"/>
      <c r="DT130" s="888"/>
      <c r="DU130" s="888"/>
      <c r="DV130" s="888"/>
      <c r="DW130" s="888"/>
      <c r="DX130" s="888"/>
      <c r="DY130" s="888"/>
      <c r="DZ130" s="888"/>
      <c r="EA130" s="888"/>
      <c r="EB130" s="888"/>
      <c r="EC130" s="888"/>
      <c r="ED130" s="888"/>
      <c r="EE130" s="888"/>
      <c r="EF130" s="888"/>
      <c r="EG130" s="888"/>
      <c r="EH130" s="888"/>
      <c r="EI130" s="888"/>
      <c r="EJ130" s="888"/>
      <c r="EK130" s="888"/>
      <c r="EL130" s="888"/>
      <c r="EM130" s="888"/>
      <c r="EN130" s="888"/>
      <c r="EO130" s="888"/>
      <c r="EP130" s="888"/>
      <c r="EQ130" s="888"/>
      <c r="ER130" s="888"/>
      <c r="ES130" s="888"/>
      <c r="ET130" s="888"/>
      <c r="EU130" s="888"/>
      <c r="EV130" s="888"/>
      <c r="EW130" s="888"/>
      <c r="EX130" s="888"/>
      <c r="EY130" s="888"/>
      <c r="EZ130" s="888"/>
      <c r="FA130" s="888"/>
      <c r="FB130" s="888"/>
      <c r="FC130" s="888"/>
    </row>
    <row r="131" spans="11:13" ht="12.75">
      <c r="K131" s="771"/>
      <c r="L131" s="771"/>
      <c r="M131" s="772"/>
    </row>
    <row r="132" spans="11:13" ht="12.75">
      <c r="K132" s="771"/>
      <c r="L132" s="771"/>
      <c r="M132" s="772"/>
    </row>
    <row r="133" spans="11:13" ht="12.75">
      <c r="K133" s="771"/>
      <c r="L133" s="771"/>
      <c r="M133" s="772"/>
    </row>
    <row r="134" spans="11:13" ht="12.75">
      <c r="K134" s="771"/>
      <c r="L134" s="771"/>
      <c r="M134" s="772"/>
    </row>
    <row r="135" spans="11:13" ht="12.75">
      <c r="K135" s="771"/>
      <c r="L135" s="771"/>
      <c r="M135" s="772"/>
    </row>
    <row r="136" spans="11:13" ht="12.75">
      <c r="K136" s="771"/>
      <c r="L136" s="771"/>
      <c r="M136" s="772"/>
    </row>
    <row r="137" spans="11:13" ht="12.75">
      <c r="K137" s="771"/>
      <c r="L137" s="771"/>
      <c r="M137" s="772"/>
    </row>
    <row r="138" spans="11:13" ht="12.75">
      <c r="K138" s="771"/>
      <c r="L138" s="771"/>
      <c r="M138" s="772"/>
    </row>
    <row r="139" spans="11:13" ht="12.75">
      <c r="K139" s="771"/>
      <c r="L139" s="771"/>
      <c r="M139" s="772"/>
    </row>
    <row r="140" spans="11:13" ht="12.75">
      <c r="K140" s="771"/>
      <c r="L140" s="771"/>
      <c r="M140" s="772"/>
    </row>
    <row r="141" spans="11:13" ht="12.75">
      <c r="K141" s="771"/>
      <c r="L141" s="771"/>
      <c r="M141" s="772"/>
    </row>
    <row r="142" spans="11:13" ht="12.75">
      <c r="K142" s="771"/>
      <c r="L142" s="771"/>
      <c r="M142" s="772"/>
    </row>
    <row r="143" spans="11:13" ht="12.75">
      <c r="K143" s="771"/>
      <c r="L143" s="771"/>
      <c r="M143" s="772"/>
    </row>
    <row r="144" spans="11:13" ht="12.75">
      <c r="K144" s="771"/>
      <c r="L144" s="771"/>
      <c r="M144" s="772"/>
    </row>
    <row r="145" spans="11:13" ht="12.75">
      <c r="K145" s="771"/>
      <c r="L145" s="771"/>
      <c r="M145" s="772"/>
    </row>
    <row r="146" spans="11:13" ht="12.75">
      <c r="K146" s="771"/>
      <c r="L146" s="771"/>
      <c r="M146" s="772"/>
    </row>
    <row r="147" spans="11:13" ht="12.75">
      <c r="K147" s="771"/>
      <c r="L147" s="771"/>
      <c r="M147" s="772"/>
    </row>
    <row r="148" spans="11:13" ht="12.75">
      <c r="K148" s="771"/>
      <c r="L148" s="771"/>
      <c r="M148" s="772"/>
    </row>
    <row r="149" spans="11:13" ht="12.75">
      <c r="K149" s="771"/>
      <c r="L149" s="771"/>
      <c r="M149" s="772"/>
    </row>
    <row r="150" spans="11:13" ht="12.75">
      <c r="K150" s="771"/>
      <c r="L150" s="771"/>
      <c r="M150" s="772"/>
    </row>
    <row r="151" spans="11:13" ht="12.75">
      <c r="K151" s="771"/>
      <c r="L151" s="771"/>
      <c r="M151" s="772"/>
    </row>
    <row r="152" spans="11:13" ht="12.75">
      <c r="K152" s="771"/>
      <c r="L152" s="771"/>
      <c r="M152" s="772"/>
    </row>
    <row r="153" spans="11:13" ht="12.75">
      <c r="K153" s="771"/>
      <c r="L153" s="771"/>
      <c r="M153" s="772"/>
    </row>
    <row r="154" spans="11:13" ht="12.75">
      <c r="K154" s="771"/>
      <c r="L154" s="771"/>
      <c r="M154" s="772"/>
    </row>
    <row r="155" spans="11:13" ht="12.75">
      <c r="K155" s="771"/>
      <c r="L155" s="771"/>
      <c r="M155" s="772"/>
    </row>
    <row r="156" spans="11:13" ht="12.75">
      <c r="K156" s="771"/>
      <c r="L156" s="771"/>
      <c r="M156" s="772"/>
    </row>
    <row r="157" spans="11:13" ht="12.75">
      <c r="K157" s="771"/>
      <c r="L157" s="771"/>
      <c r="M157" s="772"/>
    </row>
    <row r="158" spans="11:13" ht="12.75">
      <c r="K158" s="771"/>
      <c r="L158" s="771"/>
      <c r="M158" s="772"/>
    </row>
    <row r="159" spans="11:13" ht="12.75">
      <c r="K159" s="771"/>
      <c r="L159" s="771"/>
      <c r="M159" s="772"/>
    </row>
    <row r="160" spans="11:13" ht="12.75">
      <c r="K160" s="771"/>
      <c r="L160" s="771"/>
      <c r="M160" s="772"/>
    </row>
    <row r="161" spans="11:13" ht="12.75">
      <c r="K161" s="771"/>
      <c r="L161" s="771"/>
      <c r="M161" s="772"/>
    </row>
    <row r="162" spans="11:13" ht="12.75">
      <c r="K162" s="771"/>
      <c r="L162" s="771"/>
      <c r="M162" s="772"/>
    </row>
    <row r="163" spans="11:13" ht="12.75">
      <c r="K163" s="771"/>
      <c r="L163" s="771"/>
      <c r="M163" s="772"/>
    </row>
    <row r="164" spans="11:13" ht="12.75">
      <c r="K164" s="771"/>
      <c r="L164" s="771"/>
      <c r="M164" s="772"/>
    </row>
    <row r="165" spans="11:13" ht="12.75">
      <c r="K165" s="771"/>
      <c r="L165" s="771"/>
      <c r="M165" s="772"/>
    </row>
    <row r="166" spans="11:13" ht="12.75">
      <c r="K166" s="771"/>
      <c r="L166" s="771"/>
      <c r="M166" s="772"/>
    </row>
    <row r="167" spans="11:13" ht="12.75">
      <c r="K167" s="771"/>
      <c r="L167" s="771"/>
      <c r="M167" s="772"/>
    </row>
    <row r="168" spans="11:13" ht="12.75">
      <c r="K168" s="771"/>
      <c r="L168" s="771"/>
      <c r="M168" s="772"/>
    </row>
    <row r="169" spans="11:13" ht="12.75">
      <c r="K169" s="771"/>
      <c r="L169" s="771"/>
      <c r="M169" s="772"/>
    </row>
    <row r="170" spans="11:13" ht="12.75">
      <c r="K170" s="771"/>
      <c r="L170" s="771"/>
      <c r="M170" s="772"/>
    </row>
    <row r="171" spans="11:13" ht="12.75">
      <c r="K171" s="771"/>
      <c r="L171" s="771"/>
      <c r="M171" s="772"/>
    </row>
    <row r="172" spans="11:13" ht="12.75">
      <c r="K172" s="771"/>
      <c r="L172" s="771"/>
      <c r="M172" s="772"/>
    </row>
    <row r="173" spans="11:13" ht="12.75">
      <c r="K173" s="771"/>
      <c r="L173" s="771"/>
      <c r="M173" s="772"/>
    </row>
    <row r="174" spans="11:13" ht="12.75">
      <c r="K174" s="771"/>
      <c r="L174" s="771"/>
      <c r="M174" s="772"/>
    </row>
    <row r="175" spans="11:13" ht="12.75">
      <c r="K175" s="771"/>
      <c r="L175" s="771"/>
      <c r="M175" s="772"/>
    </row>
    <row r="176" spans="11:13" ht="12.75">
      <c r="K176" s="771"/>
      <c r="L176" s="771"/>
      <c r="M176" s="772"/>
    </row>
    <row r="177" spans="11:13" ht="12.75">
      <c r="K177" s="771"/>
      <c r="L177" s="771"/>
      <c r="M177" s="772"/>
    </row>
    <row r="178" spans="11:13" ht="12.75">
      <c r="K178" s="771"/>
      <c r="L178" s="771"/>
      <c r="M178" s="772"/>
    </row>
    <row r="179" spans="11:13" ht="12.75">
      <c r="K179" s="771"/>
      <c r="L179" s="771"/>
      <c r="M179" s="772"/>
    </row>
    <row r="180" spans="11:13" ht="12.75">
      <c r="K180" s="771"/>
      <c r="L180" s="771"/>
      <c r="M180" s="772"/>
    </row>
    <row r="181" spans="11:13" ht="12.75">
      <c r="K181" s="771"/>
      <c r="L181" s="771"/>
      <c r="M181" s="772"/>
    </row>
    <row r="182" spans="11:13" ht="12.75">
      <c r="K182" s="771"/>
      <c r="L182" s="771"/>
      <c r="M182" s="772"/>
    </row>
    <row r="183" spans="11:13" ht="12.75">
      <c r="K183" s="771"/>
      <c r="L183" s="771"/>
      <c r="M183" s="772"/>
    </row>
    <row r="184" spans="11:13" ht="12.75">
      <c r="K184" s="771"/>
      <c r="L184" s="771"/>
      <c r="M184" s="772"/>
    </row>
    <row r="185" spans="11:13" ht="12.75">
      <c r="K185" s="771"/>
      <c r="L185" s="771"/>
      <c r="M185" s="772"/>
    </row>
    <row r="186" spans="11:13" ht="12.75">
      <c r="K186" s="771"/>
      <c r="L186" s="771"/>
      <c r="M186" s="772"/>
    </row>
    <row r="187" spans="11:13" ht="12.75">
      <c r="K187" s="771"/>
      <c r="L187" s="771"/>
      <c r="M187" s="772"/>
    </row>
    <row r="188" spans="11:13" ht="12.75">
      <c r="K188" s="771"/>
      <c r="L188" s="771"/>
      <c r="M188" s="772"/>
    </row>
    <row r="189" spans="11:13" ht="12.75">
      <c r="K189" s="771"/>
      <c r="L189" s="771"/>
      <c r="M189" s="772"/>
    </row>
    <row r="190" spans="11:13" ht="12.75">
      <c r="K190" s="771"/>
      <c r="L190" s="771"/>
      <c r="M190" s="772"/>
    </row>
    <row r="191" spans="11:13" ht="12.75">
      <c r="K191" s="771"/>
      <c r="L191" s="771"/>
      <c r="M191" s="772"/>
    </row>
    <row r="192" spans="11:13" ht="12.75">
      <c r="K192" s="771"/>
      <c r="L192" s="771"/>
      <c r="M192" s="772"/>
    </row>
    <row r="193" spans="11:13" ht="12.75">
      <c r="K193" s="771"/>
      <c r="L193" s="771"/>
      <c r="M193" s="772"/>
    </row>
    <row r="194" spans="11:13" ht="12.75">
      <c r="K194" s="771"/>
      <c r="L194" s="771"/>
      <c r="M194" s="772"/>
    </row>
    <row r="195" spans="11:13" ht="12.75">
      <c r="K195" s="771"/>
      <c r="L195" s="771"/>
      <c r="M195" s="772"/>
    </row>
    <row r="196" spans="11:13" ht="12.75">
      <c r="K196" s="771"/>
      <c r="L196" s="771"/>
      <c r="M196" s="772"/>
    </row>
    <row r="197" spans="11:13" ht="12.75">
      <c r="K197" s="771"/>
      <c r="L197" s="771"/>
      <c r="M197" s="772"/>
    </row>
    <row r="198" spans="11:13" ht="12.75">
      <c r="K198" s="771"/>
      <c r="L198" s="771"/>
      <c r="M198" s="772"/>
    </row>
    <row r="199" spans="11:13" ht="12.75">
      <c r="K199" s="771"/>
      <c r="L199" s="771"/>
      <c r="M199" s="772"/>
    </row>
    <row r="200" spans="11:13" ht="12.75">
      <c r="K200" s="771"/>
      <c r="L200" s="771"/>
      <c r="M200" s="772"/>
    </row>
    <row r="201" spans="11:13" ht="12.75">
      <c r="K201" s="771"/>
      <c r="L201" s="771"/>
      <c r="M201" s="772"/>
    </row>
    <row r="202" spans="11:13" ht="12.75">
      <c r="K202" s="771"/>
      <c r="L202" s="771"/>
      <c r="M202" s="772"/>
    </row>
    <row r="203" spans="11:13" ht="12.75">
      <c r="K203" s="771"/>
      <c r="L203" s="771"/>
      <c r="M203" s="772"/>
    </row>
    <row r="204" spans="11:13" ht="12.75">
      <c r="K204" s="771"/>
      <c r="L204" s="771"/>
      <c r="M204" s="772"/>
    </row>
    <row r="205" spans="11:13" ht="12.75">
      <c r="K205" s="771"/>
      <c r="L205" s="771"/>
      <c r="M205" s="772"/>
    </row>
    <row r="206" spans="11:13" ht="12.75">
      <c r="K206" s="771"/>
      <c r="L206" s="771"/>
      <c r="M206" s="772"/>
    </row>
    <row r="207" spans="11:13" ht="12.75">
      <c r="K207" s="771"/>
      <c r="L207" s="771"/>
      <c r="M207" s="772"/>
    </row>
    <row r="208" spans="11:13" ht="12.75">
      <c r="K208" s="771"/>
      <c r="L208" s="771"/>
      <c r="M208" s="772"/>
    </row>
    <row r="209" spans="11:13" ht="12.75">
      <c r="K209" s="771"/>
      <c r="L209" s="771"/>
      <c r="M209" s="772"/>
    </row>
    <row r="210" spans="11:13" ht="12.75">
      <c r="K210" s="771"/>
      <c r="L210" s="771"/>
      <c r="M210" s="772"/>
    </row>
    <row r="211" spans="11:13" ht="12.75">
      <c r="K211" s="771"/>
      <c r="L211" s="771"/>
      <c r="M211" s="772"/>
    </row>
    <row r="212" spans="11:13" ht="12.75">
      <c r="K212" s="771"/>
      <c r="L212" s="771"/>
      <c r="M212" s="772"/>
    </row>
    <row r="213" spans="11:13" ht="12.75">
      <c r="K213" s="771"/>
      <c r="L213" s="771"/>
      <c r="M213" s="772"/>
    </row>
    <row r="214" spans="11:13" ht="12.75">
      <c r="K214" s="771"/>
      <c r="L214" s="771"/>
      <c r="M214" s="772"/>
    </row>
    <row r="215" spans="11:13" ht="12.75">
      <c r="K215" s="771"/>
      <c r="L215" s="771"/>
      <c r="M215" s="772"/>
    </row>
    <row r="216" spans="11:13" ht="12.75">
      <c r="K216" s="771"/>
      <c r="L216" s="771"/>
      <c r="M216" s="772"/>
    </row>
    <row r="217" spans="11:13" ht="12.75">
      <c r="K217" s="771"/>
      <c r="L217" s="771"/>
      <c r="M217" s="772"/>
    </row>
    <row r="218" spans="11:13" ht="12.75">
      <c r="K218" s="771"/>
      <c r="L218" s="771"/>
      <c r="M218" s="772"/>
    </row>
    <row r="219" spans="11:13" ht="12.75">
      <c r="K219" s="771"/>
      <c r="L219" s="771"/>
      <c r="M219" s="772"/>
    </row>
    <row r="220" spans="11:13" ht="12.75">
      <c r="K220" s="771"/>
      <c r="L220" s="771"/>
      <c r="M220" s="772"/>
    </row>
    <row r="221" spans="11:13" ht="12.75">
      <c r="K221" s="771"/>
      <c r="L221" s="771"/>
      <c r="M221" s="772"/>
    </row>
    <row r="222" spans="11:13" ht="12.75">
      <c r="K222" s="771"/>
      <c r="L222" s="771"/>
      <c r="M222" s="772"/>
    </row>
    <row r="223" spans="11:13" ht="12.75">
      <c r="K223" s="771"/>
      <c r="L223" s="771"/>
      <c r="M223" s="772"/>
    </row>
    <row r="224" spans="11:13" ht="12.75">
      <c r="K224" s="771"/>
      <c r="L224" s="771"/>
      <c r="M224" s="772"/>
    </row>
    <row r="225" spans="11:13" ht="12.75">
      <c r="K225" s="771"/>
      <c r="L225" s="771"/>
      <c r="M225" s="772"/>
    </row>
    <row r="226" spans="11:13" ht="12.75">
      <c r="K226" s="771"/>
      <c r="L226" s="771"/>
      <c r="M226" s="772"/>
    </row>
    <row r="227" spans="11:13" ht="12.75">
      <c r="K227" s="771"/>
      <c r="L227" s="771"/>
      <c r="M227" s="772"/>
    </row>
    <row r="228" spans="11:13" ht="12.75">
      <c r="K228" s="771"/>
      <c r="L228" s="771"/>
      <c r="M228" s="772"/>
    </row>
    <row r="229" spans="11:13" ht="12.75">
      <c r="K229" s="771"/>
      <c r="L229" s="771"/>
      <c r="M229" s="772"/>
    </row>
    <row r="230" spans="11:13" ht="12.75">
      <c r="K230" s="771"/>
      <c r="L230" s="771"/>
      <c r="M230" s="772"/>
    </row>
    <row r="231" spans="11:13" ht="12.75">
      <c r="K231" s="771"/>
      <c r="L231" s="771"/>
      <c r="M231" s="772"/>
    </row>
    <row r="232" spans="11:13" ht="12.75">
      <c r="K232" s="771"/>
      <c r="L232" s="771"/>
      <c r="M232" s="772"/>
    </row>
    <row r="233" spans="11:13" ht="12.75">
      <c r="K233" s="771"/>
      <c r="L233" s="771"/>
      <c r="M233" s="772"/>
    </row>
    <row r="234" spans="11:13" ht="12.75">
      <c r="K234" s="771"/>
      <c r="L234" s="771"/>
      <c r="M234" s="772"/>
    </row>
    <row r="235" spans="11:13" ht="12.75">
      <c r="K235" s="771"/>
      <c r="L235" s="771"/>
      <c r="M235" s="772"/>
    </row>
    <row r="236" spans="11:13" ht="12.75">
      <c r="K236" s="771"/>
      <c r="L236" s="771"/>
      <c r="M236" s="772"/>
    </row>
    <row r="237" spans="11:13" ht="12.75">
      <c r="K237" s="771"/>
      <c r="L237" s="771"/>
      <c r="M237" s="772"/>
    </row>
    <row r="238" spans="11:13" ht="12.75">
      <c r="K238" s="771"/>
      <c r="L238" s="771"/>
      <c r="M238" s="772"/>
    </row>
    <row r="239" spans="11:13" ht="12.75">
      <c r="K239" s="771"/>
      <c r="L239" s="771"/>
      <c r="M239" s="772"/>
    </row>
    <row r="240" spans="11:13" ht="12.75">
      <c r="K240" s="771"/>
      <c r="L240" s="771"/>
      <c r="M240" s="772"/>
    </row>
    <row r="241" spans="11:13" ht="12.75">
      <c r="K241" s="771"/>
      <c r="L241" s="771"/>
      <c r="M241" s="772"/>
    </row>
    <row r="242" spans="11:13" ht="12.75">
      <c r="K242" s="771"/>
      <c r="L242" s="771"/>
      <c r="M242" s="772"/>
    </row>
    <row r="243" spans="11:13" ht="12.75">
      <c r="K243" s="771"/>
      <c r="L243" s="771"/>
      <c r="M243" s="772"/>
    </row>
    <row r="244" spans="11:13" ht="12.75">
      <c r="K244" s="771"/>
      <c r="L244" s="771"/>
      <c r="M244" s="772"/>
    </row>
    <row r="245" spans="11:13" ht="12.75">
      <c r="K245" s="771"/>
      <c r="L245" s="771"/>
      <c r="M245" s="772"/>
    </row>
    <row r="246" spans="11:13" ht="12.75">
      <c r="K246" s="771"/>
      <c r="L246" s="771"/>
      <c r="M246" s="772"/>
    </row>
    <row r="247" spans="11:13" ht="12.75">
      <c r="K247" s="771"/>
      <c r="L247" s="771"/>
      <c r="M247" s="772"/>
    </row>
    <row r="248" spans="11:13" ht="12.75">
      <c r="K248" s="771"/>
      <c r="L248" s="771"/>
      <c r="M248" s="772"/>
    </row>
    <row r="249" spans="11:13" ht="12.75">
      <c r="K249" s="771"/>
      <c r="L249" s="771"/>
      <c r="M249" s="772"/>
    </row>
    <row r="250" spans="11:13" ht="12.75">
      <c r="K250" s="771"/>
      <c r="L250" s="771"/>
      <c r="M250" s="772"/>
    </row>
    <row r="251" spans="11:13" ht="12.75">
      <c r="K251" s="771"/>
      <c r="L251" s="771"/>
      <c r="M251" s="772"/>
    </row>
    <row r="252" spans="11:13" ht="12.75">
      <c r="K252" s="771"/>
      <c r="L252" s="771"/>
      <c r="M252" s="772"/>
    </row>
    <row r="253" spans="11:13" ht="12.75">
      <c r="K253" s="771"/>
      <c r="L253" s="771"/>
      <c r="M253" s="772"/>
    </row>
    <row r="254" spans="11:13" ht="12.75">
      <c r="K254" s="771"/>
      <c r="L254" s="771"/>
      <c r="M254" s="772"/>
    </row>
    <row r="255" spans="11:13" ht="12.75">
      <c r="K255" s="771"/>
      <c r="L255" s="771"/>
      <c r="M255" s="772"/>
    </row>
    <row r="256" spans="11:13" ht="12.75">
      <c r="K256" s="771"/>
      <c r="L256" s="771"/>
      <c r="M256" s="772"/>
    </row>
    <row r="257" spans="11:13" ht="12.75">
      <c r="K257" s="771"/>
      <c r="L257" s="771"/>
      <c r="M257" s="772"/>
    </row>
    <row r="258" spans="11:13" ht="12.75">
      <c r="K258" s="771"/>
      <c r="L258" s="771"/>
      <c r="M258" s="772"/>
    </row>
    <row r="259" spans="11:13" ht="12.75">
      <c r="K259" s="771"/>
      <c r="L259" s="771"/>
      <c r="M259" s="772"/>
    </row>
    <row r="260" spans="11:13" ht="12.75">
      <c r="K260" s="771"/>
      <c r="L260" s="771"/>
      <c r="M260" s="772"/>
    </row>
    <row r="261" spans="11:13" ht="12.75">
      <c r="K261" s="771"/>
      <c r="L261" s="771"/>
      <c r="M261" s="772"/>
    </row>
    <row r="262" spans="11:13" ht="12.75">
      <c r="K262" s="771"/>
      <c r="L262" s="771"/>
      <c r="M262" s="772"/>
    </row>
    <row r="263" spans="11:13" ht="12.75">
      <c r="K263" s="771"/>
      <c r="L263" s="771"/>
      <c r="M263" s="772"/>
    </row>
    <row r="264" spans="11:13" ht="12.75">
      <c r="K264" s="771"/>
      <c r="L264" s="771"/>
      <c r="M264" s="772"/>
    </row>
    <row r="265" spans="11:13" ht="12.75">
      <c r="K265" s="771"/>
      <c r="L265" s="771"/>
      <c r="M265" s="772"/>
    </row>
    <row r="266" spans="11:13" ht="12.75">
      <c r="K266" s="771"/>
      <c r="L266" s="771"/>
      <c r="M266" s="772"/>
    </row>
    <row r="267" spans="11:13" ht="12.75">
      <c r="K267" s="771"/>
      <c r="L267" s="771"/>
      <c r="M267" s="772"/>
    </row>
    <row r="268" spans="11:13" ht="12.75">
      <c r="K268" s="771"/>
      <c r="L268" s="771"/>
      <c r="M268" s="772"/>
    </row>
    <row r="269" spans="11:13" ht="12.75">
      <c r="K269" s="771"/>
      <c r="L269" s="771"/>
      <c r="M269" s="772"/>
    </row>
    <row r="270" spans="11:13" ht="12.75">
      <c r="K270" s="771"/>
      <c r="L270" s="771"/>
      <c r="M270" s="772"/>
    </row>
    <row r="271" spans="11:13" ht="12.75">
      <c r="K271" s="771"/>
      <c r="L271" s="771"/>
      <c r="M271" s="772"/>
    </row>
    <row r="272" spans="11:13" ht="12.75">
      <c r="K272" s="771"/>
      <c r="L272" s="771"/>
      <c r="M272" s="772"/>
    </row>
    <row r="273" spans="11:13" ht="12.75">
      <c r="K273" s="771"/>
      <c r="L273" s="771"/>
      <c r="M273" s="772"/>
    </row>
    <row r="274" spans="11:13" ht="12.75">
      <c r="K274" s="771"/>
      <c r="L274" s="771"/>
      <c r="M274" s="772"/>
    </row>
    <row r="275" spans="11:13" ht="12.75">
      <c r="K275" s="771"/>
      <c r="L275" s="771"/>
      <c r="M275" s="772"/>
    </row>
    <row r="276" spans="11:13" ht="12.75">
      <c r="K276" s="771"/>
      <c r="L276" s="771"/>
      <c r="M276" s="772"/>
    </row>
    <row r="277" spans="11:13" ht="12.75">
      <c r="K277" s="771"/>
      <c r="L277" s="771"/>
      <c r="M277" s="772"/>
    </row>
    <row r="278" spans="11:13" ht="12.75">
      <c r="K278" s="771"/>
      <c r="L278" s="771"/>
      <c r="M278" s="772"/>
    </row>
    <row r="279" spans="11:13" ht="12.75">
      <c r="K279" s="771"/>
      <c r="L279" s="771"/>
      <c r="M279" s="772"/>
    </row>
    <row r="280" spans="11:13" ht="12.75">
      <c r="K280" s="771"/>
      <c r="L280" s="771"/>
      <c r="M280" s="772"/>
    </row>
    <row r="281" spans="11:13" ht="12.75">
      <c r="K281" s="771"/>
      <c r="L281" s="771"/>
      <c r="M281" s="772"/>
    </row>
    <row r="282" spans="11:13" ht="12.75">
      <c r="K282" s="771"/>
      <c r="L282" s="771"/>
      <c r="M282" s="772"/>
    </row>
    <row r="283" spans="11:13" ht="12.75">
      <c r="K283" s="771"/>
      <c r="L283" s="771"/>
      <c r="M283" s="772"/>
    </row>
    <row r="284" spans="11:13" ht="12.75">
      <c r="K284" s="771"/>
      <c r="L284" s="771"/>
      <c r="M284" s="772"/>
    </row>
    <row r="285" spans="11:13" ht="12.75">
      <c r="K285" s="771"/>
      <c r="L285" s="771"/>
      <c r="M285" s="772"/>
    </row>
    <row r="286" spans="11:13" ht="12.75">
      <c r="K286" s="771"/>
      <c r="L286" s="771"/>
      <c r="M286" s="772"/>
    </row>
    <row r="287" spans="11:13" ht="12.75">
      <c r="K287" s="771"/>
      <c r="L287" s="771"/>
      <c r="M287" s="772"/>
    </row>
    <row r="288" spans="11:13" ht="12.75">
      <c r="K288" s="771"/>
      <c r="L288" s="771"/>
      <c r="M288" s="772"/>
    </row>
    <row r="289" spans="11:13" ht="12.75">
      <c r="K289" s="771"/>
      <c r="L289" s="771"/>
      <c r="M289" s="772"/>
    </row>
    <row r="290" spans="11:13" ht="12.75">
      <c r="K290" s="771"/>
      <c r="L290" s="771"/>
      <c r="M290" s="772"/>
    </row>
    <row r="291" spans="11:13" ht="12.75">
      <c r="K291" s="771"/>
      <c r="L291" s="771"/>
      <c r="M291" s="772"/>
    </row>
    <row r="292" spans="11:13" ht="12.75">
      <c r="K292" s="771"/>
      <c r="L292" s="771"/>
      <c r="M292" s="772"/>
    </row>
    <row r="293" spans="11:13" ht="12.75">
      <c r="K293" s="771"/>
      <c r="L293" s="771"/>
      <c r="M293" s="772"/>
    </row>
    <row r="294" spans="11:13" ht="12.75">
      <c r="K294" s="771"/>
      <c r="L294" s="771"/>
      <c r="M294" s="772"/>
    </row>
    <row r="295" spans="11:13" ht="12.75">
      <c r="K295" s="771"/>
      <c r="L295" s="771"/>
      <c r="M295" s="772"/>
    </row>
    <row r="296" spans="11:13" ht="12.75">
      <c r="K296" s="771"/>
      <c r="L296" s="771"/>
      <c r="M296" s="772"/>
    </row>
    <row r="297" spans="11:13" ht="12.75">
      <c r="K297" s="771"/>
      <c r="L297" s="771"/>
      <c r="M297" s="772"/>
    </row>
    <row r="298" spans="11:13" ht="12.75">
      <c r="K298" s="771"/>
      <c r="L298" s="771"/>
      <c r="M298" s="772"/>
    </row>
    <row r="299" spans="11:13" ht="12.75">
      <c r="K299" s="771"/>
      <c r="L299" s="771"/>
      <c r="M299" s="772"/>
    </row>
    <row r="300" spans="11:13" ht="12.75">
      <c r="K300" s="771"/>
      <c r="L300" s="771"/>
      <c r="M300" s="772"/>
    </row>
    <row r="301" spans="11:13" ht="12.75">
      <c r="K301" s="771"/>
      <c r="L301" s="771"/>
      <c r="M301" s="772"/>
    </row>
    <row r="302" spans="11:13" ht="12.75">
      <c r="K302" s="771"/>
      <c r="L302" s="771"/>
      <c r="M302" s="772"/>
    </row>
    <row r="303" spans="11:13" ht="12.75">
      <c r="K303" s="771"/>
      <c r="L303" s="771"/>
      <c r="M303" s="772"/>
    </row>
    <row r="304" spans="11:13" ht="12.75">
      <c r="K304" s="771"/>
      <c r="L304" s="771"/>
      <c r="M304" s="772"/>
    </row>
    <row r="305" spans="11:13" ht="12.75">
      <c r="K305" s="771"/>
      <c r="L305" s="771"/>
      <c r="M305" s="772"/>
    </row>
    <row r="306" spans="11:13" ht="12.75">
      <c r="K306" s="771"/>
      <c r="L306" s="771"/>
      <c r="M306" s="772"/>
    </row>
    <row r="307" spans="11:13" ht="12.75">
      <c r="K307" s="771"/>
      <c r="L307" s="771"/>
      <c r="M307" s="772"/>
    </row>
    <row r="308" spans="11:13" ht="12.75">
      <c r="K308" s="771"/>
      <c r="L308" s="771"/>
      <c r="M308" s="772"/>
    </row>
    <row r="309" spans="11:13" ht="12.75">
      <c r="K309" s="771"/>
      <c r="L309" s="771"/>
      <c r="M309" s="772"/>
    </row>
    <row r="310" spans="11:13" ht="12.75">
      <c r="K310" s="771"/>
      <c r="L310" s="771"/>
      <c r="M310" s="772"/>
    </row>
    <row r="311" spans="11:13" ht="12.75">
      <c r="K311" s="771"/>
      <c r="L311" s="771"/>
      <c r="M311" s="772"/>
    </row>
    <row r="312" spans="11:13" ht="12.75">
      <c r="K312" s="771"/>
      <c r="L312" s="771"/>
      <c r="M312" s="772"/>
    </row>
    <row r="313" spans="11:13" ht="12.75">
      <c r="K313" s="771"/>
      <c r="L313" s="771"/>
      <c r="M313" s="772"/>
    </row>
    <row r="314" spans="11:13" ht="12.75">
      <c r="K314" s="771"/>
      <c r="L314" s="771"/>
      <c r="M314" s="772"/>
    </row>
    <row r="315" spans="11:13" ht="12.75">
      <c r="K315" s="771"/>
      <c r="L315" s="771"/>
      <c r="M315" s="772"/>
    </row>
    <row r="316" spans="11:13" ht="12.75">
      <c r="K316" s="771"/>
      <c r="L316" s="771"/>
      <c r="M316" s="772"/>
    </row>
    <row r="317" spans="11:13" ht="12.75">
      <c r="K317" s="771"/>
      <c r="L317" s="771"/>
      <c r="M317" s="772"/>
    </row>
    <row r="318" spans="11:13" ht="12.75">
      <c r="K318" s="771"/>
      <c r="L318" s="771"/>
      <c r="M318" s="772"/>
    </row>
    <row r="319" spans="11:13" ht="12.75">
      <c r="K319" s="771"/>
      <c r="L319" s="771"/>
      <c r="M319" s="772"/>
    </row>
    <row r="320" spans="11:13" ht="12.75">
      <c r="K320" s="771"/>
      <c r="L320" s="771"/>
      <c r="M320" s="772"/>
    </row>
    <row r="321" spans="11:13" ht="12.75">
      <c r="K321" s="771"/>
      <c r="L321" s="771"/>
      <c r="M321" s="772"/>
    </row>
    <row r="322" spans="11:13" ht="12.75">
      <c r="K322" s="771"/>
      <c r="L322" s="771"/>
      <c r="M322" s="772"/>
    </row>
    <row r="323" spans="11:13" ht="12.75">
      <c r="K323" s="771"/>
      <c r="L323" s="771"/>
      <c r="M323" s="772"/>
    </row>
    <row r="324" spans="11:13" ht="12.75">
      <c r="K324" s="771"/>
      <c r="L324" s="771"/>
      <c r="M324" s="772"/>
    </row>
    <row r="325" spans="11:13" ht="12.75">
      <c r="K325" s="771"/>
      <c r="L325" s="771"/>
      <c r="M325" s="772"/>
    </row>
    <row r="326" spans="11:13" ht="12.75">
      <c r="K326" s="771"/>
      <c r="L326" s="771"/>
      <c r="M326" s="772"/>
    </row>
    <row r="327" spans="11:13" ht="12.75">
      <c r="K327" s="771"/>
      <c r="L327" s="771"/>
      <c r="M327" s="772"/>
    </row>
    <row r="328" spans="11:13" ht="12.75">
      <c r="K328" s="771"/>
      <c r="L328" s="771"/>
      <c r="M328" s="772"/>
    </row>
    <row r="329" spans="11:13" ht="12.75">
      <c r="K329" s="771"/>
      <c r="L329" s="771"/>
      <c r="M329" s="772"/>
    </row>
    <row r="330" spans="11:13" ht="12.75">
      <c r="K330" s="771"/>
      <c r="L330" s="771"/>
      <c r="M330" s="772"/>
    </row>
    <row r="331" spans="11:13" ht="12.75">
      <c r="K331" s="771"/>
      <c r="L331" s="771"/>
      <c r="M331" s="772"/>
    </row>
    <row r="332" spans="11:13" ht="12.75">
      <c r="K332" s="771"/>
      <c r="L332" s="771"/>
      <c r="M332" s="772"/>
    </row>
    <row r="333" spans="11:13" ht="12.75">
      <c r="K333" s="771"/>
      <c r="L333" s="771"/>
      <c r="M333" s="772"/>
    </row>
    <row r="334" spans="11:13" ht="12.75">
      <c r="K334" s="771"/>
      <c r="L334" s="771"/>
      <c r="M334" s="772"/>
    </row>
    <row r="335" spans="11:13" ht="12.75">
      <c r="K335" s="771"/>
      <c r="L335" s="771"/>
      <c r="M335" s="772"/>
    </row>
    <row r="336" spans="11:13" ht="12.75">
      <c r="K336" s="771"/>
      <c r="L336" s="771"/>
      <c r="M336" s="772"/>
    </row>
    <row r="337" spans="11:13" ht="12.75">
      <c r="K337" s="771"/>
      <c r="L337" s="771"/>
      <c r="M337" s="772"/>
    </row>
    <row r="338" spans="11:13" ht="12.75">
      <c r="K338" s="771"/>
      <c r="L338" s="771"/>
      <c r="M338" s="772"/>
    </row>
    <row r="339" spans="11:13" ht="12.75">
      <c r="K339" s="771"/>
      <c r="L339" s="771"/>
      <c r="M339" s="772"/>
    </row>
    <row r="340" spans="11:13" ht="12.75">
      <c r="K340" s="771"/>
      <c r="L340" s="771"/>
      <c r="M340" s="772"/>
    </row>
    <row r="341" spans="11:13" ht="12.75">
      <c r="K341" s="771"/>
      <c r="L341" s="771"/>
      <c r="M341" s="772"/>
    </row>
    <row r="342" spans="11:13" ht="12.75">
      <c r="K342" s="771"/>
      <c r="L342" s="771"/>
      <c r="M342" s="772"/>
    </row>
    <row r="343" spans="11:13" ht="12.75">
      <c r="K343" s="771"/>
      <c r="L343" s="771"/>
      <c r="M343" s="772"/>
    </row>
    <row r="344" spans="11:13" ht="12.75">
      <c r="K344" s="771"/>
      <c r="L344" s="771"/>
      <c r="M344" s="772"/>
    </row>
    <row r="345" spans="11:13" ht="12.75">
      <c r="K345" s="771"/>
      <c r="L345" s="771"/>
      <c r="M345" s="772"/>
    </row>
    <row r="346" spans="11:13" ht="12.75">
      <c r="K346" s="771"/>
      <c r="L346" s="771"/>
      <c r="M346" s="772"/>
    </row>
    <row r="347" spans="11:13" ht="12.75">
      <c r="K347" s="771"/>
      <c r="L347" s="771"/>
      <c r="M347" s="772"/>
    </row>
    <row r="348" spans="11:13" ht="12.75">
      <c r="K348" s="771"/>
      <c r="L348" s="771"/>
      <c r="M348" s="772"/>
    </row>
    <row r="349" spans="11:13" ht="12.75">
      <c r="K349" s="771"/>
      <c r="L349" s="771"/>
      <c r="M349" s="772"/>
    </row>
    <row r="350" spans="11:13" ht="12.75">
      <c r="K350" s="771"/>
      <c r="L350" s="771"/>
      <c r="M350" s="772"/>
    </row>
    <row r="351" spans="11:13" ht="12.75">
      <c r="K351" s="771"/>
      <c r="L351" s="771"/>
      <c r="M351" s="772"/>
    </row>
    <row r="352" spans="11:13" ht="12.75">
      <c r="K352" s="771"/>
      <c r="L352" s="771"/>
      <c r="M352" s="772"/>
    </row>
    <row r="353" spans="11:13" ht="12.75">
      <c r="K353" s="771"/>
      <c r="L353" s="771"/>
      <c r="M353" s="772"/>
    </row>
    <row r="354" spans="11:13" ht="12.75">
      <c r="K354" s="771"/>
      <c r="L354" s="771"/>
      <c r="M354" s="772"/>
    </row>
    <row r="355" spans="11:13" ht="12.75">
      <c r="K355" s="771"/>
      <c r="L355" s="771"/>
      <c r="M355" s="772"/>
    </row>
    <row r="356" spans="11:13" ht="12.75">
      <c r="K356" s="771"/>
      <c r="L356" s="771"/>
      <c r="M356" s="772"/>
    </row>
    <row r="357" spans="11:13" ht="12.75">
      <c r="K357" s="771"/>
      <c r="L357" s="771"/>
      <c r="M357" s="772"/>
    </row>
    <row r="358" spans="11:13" ht="12.75">
      <c r="K358" s="771"/>
      <c r="L358" s="771"/>
      <c r="M358" s="772"/>
    </row>
    <row r="359" spans="11:13" ht="12.75">
      <c r="K359" s="771"/>
      <c r="L359" s="771"/>
      <c r="M359" s="772"/>
    </row>
    <row r="360" spans="11:13" ht="12.75">
      <c r="K360" s="771"/>
      <c r="L360" s="771"/>
      <c r="M360" s="772"/>
    </row>
    <row r="361" spans="11:13" ht="12.75">
      <c r="K361" s="771"/>
      <c r="L361" s="771"/>
      <c r="M361" s="772"/>
    </row>
    <row r="362" spans="11:13" ht="12.75">
      <c r="K362" s="771"/>
      <c r="L362" s="771"/>
      <c r="M362" s="772"/>
    </row>
    <row r="363" spans="11:13" ht="12.75">
      <c r="K363" s="771"/>
      <c r="L363" s="771"/>
      <c r="M363" s="772"/>
    </row>
    <row r="364" spans="11:13" ht="12.75">
      <c r="K364" s="771"/>
      <c r="L364" s="771"/>
      <c r="M364" s="772"/>
    </row>
    <row r="365" spans="11:13" ht="12.75">
      <c r="K365" s="771"/>
      <c r="L365" s="771"/>
      <c r="M365" s="772"/>
    </row>
    <row r="366" spans="11:13" ht="12.75">
      <c r="K366" s="771"/>
      <c r="L366" s="771"/>
      <c r="M366" s="772"/>
    </row>
    <row r="367" spans="11:13" ht="12.75">
      <c r="K367" s="771"/>
      <c r="L367" s="771"/>
      <c r="M367" s="772"/>
    </row>
    <row r="368" spans="11:13" ht="12.75">
      <c r="K368" s="771"/>
      <c r="L368" s="771"/>
      <c r="M368" s="772"/>
    </row>
    <row r="369" spans="11:13" ht="12.75">
      <c r="K369" s="771"/>
      <c r="L369" s="771"/>
      <c r="M369" s="772"/>
    </row>
    <row r="370" spans="11:13" ht="12.75">
      <c r="K370" s="771"/>
      <c r="L370" s="771"/>
      <c r="M370" s="772"/>
    </row>
    <row r="371" spans="11:13" ht="12.75">
      <c r="K371" s="771"/>
      <c r="L371" s="771"/>
      <c r="M371" s="772"/>
    </row>
    <row r="372" spans="11:13" ht="12.75">
      <c r="K372" s="771"/>
      <c r="L372" s="771"/>
      <c r="M372" s="772"/>
    </row>
    <row r="373" spans="11:13" ht="12.75">
      <c r="K373" s="771"/>
      <c r="L373" s="771"/>
      <c r="M373" s="772"/>
    </row>
    <row r="374" spans="11:13" ht="12.75">
      <c r="K374" s="771"/>
      <c r="L374" s="771"/>
      <c r="M374" s="772"/>
    </row>
    <row r="375" spans="11:13" ht="12.75">
      <c r="K375" s="771"/>
      <c r="L375" s="771"/>
      <c r="M375" s="772"/>
    </row>
    <row r="376" spans="11:13" ht="12.75">
      <c r="K376" s="771"/>
      <c r="L376" s="771"/>
      <c r="M376" s="772"/>
    </row>
    <row r="377" spans="11:13" ht="12.75">
      <c r="K377" s="771"/>
      <c r="L377" s="771"/>
      <c r="M377" s="772"/>
    </row>
    <row r="378" spans="11:13" ht="12.75">
      <c r="K378" s="771"/>
      <c r="L378" s="771"/>
      <c r="M378" s="772"/>
    </row>
    <row r="379" spans="11:13" ht="12.75">
      <c r="K379" s="771"/>
      <c r="L379" s="771"/>
      <c r="M379" s="772"/>
    </row>
    <row r="380" spans="11:13" ht="12.75">
      <c r="K380" s="771"/>
      <c r="L380" s="771"/>
      <c r="M380" s="772"/>
    </row>
    <row r="381" spans="11:13" ht="12.75">
      <c r="K381" s="771"/>
      <c r="L381" s="771"/>
      <c r="M381" s="772"/>
    </row>
    <row r="382" spans="11:13" ht="12.75">
      <c r="K382" s="771"/>
      <c r="L382" s="771"/>
      <c r="M382" s="772"/>
    </row>
    <row r="383" spans="11:13" ht="12.75">
      <c r="K383" s="771"/>
      <c r="L383" s="771"/>
      <c r="M383" s="772"/>
    </row>
    <row r="384" spans="11:13" ht="12.75">
      <c r="K384" s="771"/>
      <c r="L384" s="771"/>
      <c r="M384" s="772"/>
    </row>
    <row r="385" spans="11:13" ht="12.75">
      <c r="K385" s="771"/>
      <c r="L385" s="771"/>
      <c r="M385" s="772"/>
    </row>
    <row r="386" spans="11:13" ht="12.75">
      <c r="K386" s="771"/>
      <c r="L386" s="771"/>
      <c r="M386" s="772"/>
    </row>
    <row r="387" spans="11:13" ht="12.75">
      <c r="K387" s="771"/>
      <c r="L387" s="771"/>
      <c r="M387" s="772"/>
    </row>
    <row r="388" spans="11:13" ht="12.75">
      <c r="K388" s="771"/>
      <c r="L388" s="771"/>
      <c r="M388" s="772"/>
    </row>
    <row r="389" spans="11:13" ht="12.75">
      <c r="K389" s="771"/>
      <c r="L389" s="771"/>
      <c r="M389" s="772"/>
    </row>
    <row r="390" spans="11:13" ht="12.75">
      <c r="K390" s="771"/>
      <c r="L390" s="771"/>
      <c r="M390" s="772"/>
    </row>
    <row r="391" spans="11:13" ht="12.75">
      <c r="K391" s="771"/>
      <c r="L391" s="771"/>
      <c r="M391" s="772"/>
    </row>
    <row r="392" spans="11:13" ht="12.75">
      <c r="K392" s="771"/>
      <c r="L392" s="771"/>
      <c r="M392" s="772"/>
    </row>
    <row r="393" spans="11:13" ht="12.75">
      <c r="K393" s="771"/>
      <c r="L393" s="771"/>
      <c r="M393" s="772"/>
    </row>
    <row r="394" spans="11:13" ht="12.75">
      <c r="K394" s="771"/>
      <c r="L394" s="771"/>
      <c r="M394" s="772"/>
    </row>
    <row r="395" spans="11:13" ht="12.75">
      <c r="K395" s="771"/>
      <c r="L395" s="771"/>
      <c r="M395" s="772"/>
    </row>
    <row r="396" spans="11:13" ht="12.75">
      <c r="K396" s="771"/>
      <c r="L396" s="771"/>
      <c r="M396" s="772"/>
    </row>
    <row r="397" spans="11:13" ht="12.75">
      <c r="K397" s="771"/>
      <c r="L397" s="771"/>
      <c r="M397" s="772"/>
    </row>
    <row r="398" spans="11:13" ht="12.75">
      <c r="K398" s="771"/>
      <c r="L398" s="771"/>
      <c r="M398" s="772"/>
    </row>
    <row r="399" spans="11:13" ht="12.75">
      <c r="K399" s="771"/>
      <c r="L399" s="771"/>
      <c r="M399" s="772"/>
    </row>
    <row r="400" spans="11:13" ht="12.75">
      <c r="K400" s="771"/>
      <c r="L400" s="771"/>
      <c r="M400" s="772"/>
    </row>
    <row r="401" spans="11:13" ht="12.75">
      <c r="K401" s="771"/>
      <c r="L401" s="771"/>
      <c r="M401" s="772"/>
    </row>
    <row r="402" spans="11:13" ht="12.75">
      <c r="K402" s="771"/>
      <c r="L402" s="771"/>
      <c r="M402" s="772"/>
    </row>
    <row r="403" spans="11:13" ht="12.75">
      <c r="K403" s="771"/>
      <c r="L403" s="771"/>
      <c r="M403" s="772"/>
    </row>
    <row r="404" spans="11:13" ht="12.75">
      <c r="K404" s="771"/>
      <c r="L404" s="771"/>
      <c r="M404" s="772"/>
    </row>
  </sheetData>
  <sheetProtection/>
  <mergeCells count="1">
    <mergeCell ref="G1:J1"/>
  </mergeCells>
  <printOptions/>
  <pageMargins left="0.2362204724409449" right="0.03937007874015748" top="0.7480314960629921" bottom="0.7480314960629921" header="0.31496062992125984" footer="0.31496062992125984"/>
  <pageSetup horizontalDpi="720" verticalDpi="720" orientation="landscape" paperSize="9" scale="99" r:id="rId1"/>
  <headerFooter>
    <oddHeader>&amp;L&amp;"Arial Narrow,Normal"&amp;8Cálculo de Recursos Año 2016&amp;R&amp;"Arial Narrow,Normal"&amp;8MUNICIPALIDAD DE VILLA MARÍA
Secretaría de Economía y Administración</oddHeader>
    <oddFooter>&amp;C&amp;"Arial Narrow,Normal"&amp;8Recursos 
&amp;P de &amp;N</oddFooter>
  </headerFooter>
  <rowBreaks count="3" manualBreakCount="3">
    <brk id="37" max="255" man="1"/>
    <brk id="86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30"/>
  <sheetViews>
    <sheetView workbookViewId="0" topLeftCell="A1">
      <selection activeCell="F247" sqref="F247"/>
    </sheetView>
  </sheetViews>
  <sheetFormatPr defaultColWidth="11.421875" defaultRowHeight="12.75"/>
  <cols>
    <col min="1" max="1" width="9.7109375" style="341" customWidth="1"/>
    <col min="2" max="2" width="46.7109375" style="341" customWidth="1"/>
    <col min="3" max="3" width="12.7109375" style="342" customWidth="1"/>
    <col min="4" max="4" width="10.7109375" style="341" customWidth="1"/>
    <col min="5" max="5" width="13.7109375" style="343" customWidth="1"/>
    <col min="6" max="6" width="12.8515625" style="271" customWidth="1"/>
    <col min="7" max="11" width="12.7109375" style="256" customWidth="1"/>
    <col min="12" max="18" width="11.421875" style="255" customWidth="1"/>
  </cols>
  <sheetData>
    <row r="1" spans="1:11" s="269" customFormat="1" ht="12.75" customHeight="1">
      <c r="A1" s="262" t="s">
        <v>289</v>
      </c>
      <c r="B1" s="262"/>
      <c r="C1" s="263"/>
      <c r="D1" s="264"/>
      <c r="E1" s="265"/>
      <c r="F1" s="266"/>
      <c r="G1" s="267"/>
      <c r="H1" s="268"/>
      <c r="I1" s="268"/>
      <c r="J1" s="268"/>
      <c r="K1" s="268"/>
    </row>
    <row r="2" spans="1:11" s="269" customFormat="1" ht="12.75" customHeight="1">
      <c r="A2" s="265"/>
      <c r="B2" s="265"/>
      <c r="C2" s="263"/>
      <c r="D2" s="264"/>
      <c r="E2" s="265"/>
      <c r="F2" s="266"/>
      <c r="G2" s="267"/>
      <c r="H2" s="268"/>
      <c r="I2" s="268"/>
      <c r="J2" s="268"/>
      <c r="K2" s="268"/>
    </row>
    <row r="3" spans="1:11" s="255" customFormat="1" ht="12.75" customHeight="1" thickBot="1">
      <c r="A3" s="13"/>
      <c r="B3" s="13"/>
      <c r="C3" s="199"/>
      <c r="D3" s="106"/>
      <c r="E3" s="270"/>
      <c r="F3" s="271"/>
      <c r="G3" s="256"/>
      <c r="H3" s="256"/>
      <c r="I3" s="256"/>
      <c r="J3" s="256"/>
      <c r="K3" s="256"/>
    </row>
    <row r="4" spans="1:18" s="272" customFormat="1" ht="13.5" customHeight="1">
      <c r="A4" s="64" t="s">
        <v>290</v>
      </c>
      <c r="B4" s="221"/>
      <c r="C4" s="220"/>
      <c r="D4" s="219" t="s">
        <v>6</v>
      </c>
      <c r="E4" s="218">
        <v>1201</v>
      </c>
      <c r="F4" s="926"/>
      <c r="G4" s="927"/>
      <c r="H4" s="927"/>
      <c r="I4" s="927"/>
      <c r="J4" s="927"/>
      <c r="K4" s="927"/>
      <c r="L4" s="928"/>
      <c r="M4" s="928"/>
      <c r="N4" s="928"/>
      <c r="O4" s="928"/>
      <c r="P4" s="928"/>
      <c r="Q4" s="928"/>
      <c r="R4" s="928"/>
    </row>
    <row r="5" spans="1:18" s="272" customFormat="1" ht="13.5" customHeight="1" thickBot="1">
      <c r="A5" s="49" t="s">
        <v>291</v>
      </c>
      <c r="B5" s="205"/>
      <c r="C5" s="204"/>
      <c r="D5" s="217"/>
      <c r="E5" s="216"/>
      <c r="F5" s="926"/>
      <c r="G5" s="927"/>
      <c r="H5" s="927"/>
      <c r="I5" s="927"/>
      <c r="J5" s="927"/>
      <c r="K5" s="927"/>
      <c r="L5" s="928"/>
      <c r="M5" s="928"/>
      <c r="N5" s="928"/>
      <c r="O5" s="928"/>
      <c r="P5" s="928"/>
      <c r="Q5" s="928"/>
      <c r="R5" s="928"/>
    </row>
    <row r="6" spans="1:18" s="272" customFormat="1" ht="13.5" customHeight="1">
      <c r="A6" s="64" t="s">
        <v>292</v>
      </c>
      <c r="B6" s="221"/>
      <c r="C6" s="220"/>
      <c r="D6" s="221"/>
      <c r="E6" s="273"/>
      <c r="F6" s="108"/>
      <c r="G6" s="250"/>
      <c r="H6" s="250"/>
      <c r="I6" s="250"/>
      <c r="J6" s="250"/>
      <c r="K6" s="250"/>
      <c r="L6" s="928"/>
      <c r="M6" s="928"/>
      <c r="N6" s="928"/>
      <c r="O6" s="928"/>
      <c r="P6" s="928"/>
      <c r="Q6" s="928"/>
      <c r="R6" s="928"/>
    </row>
    <row r="7" spans="1:18" s="272" customFormat="1" ht="13.5" customHeight="1">
      <c r="A7" s="45" t="s">
        <v>293</v>
      </c>
      <c r="B7" s="208"/>
      <c r="C7" s="207"/>
      <c r="D7" s="208"/>
      <c r="E7" s="212"/>
      <c r="F7" s="108"/>
      <c r="G7" s="250"/>
      <c r="H7" s="250"/>
      <c r="I7" s="250"/>
      <c r="J7" s="250"/>
      <c r="K7" s="250"/>
      <c r="L7" s="928"/>
      <c r="M7" s="928"/>
      <c r="N7" s="928"/>
      <c r="O7" s="928"/>
      <c r="P7" s="928"/>
      <c r="Q7" s="928"/>
      <c r="R7" s="928"/>
    </row>
    <row r="8" spans="1:18" s="272" customFormat="1" ht="13.5" customHeight="1">
      <c r="A8" s="45" t="s">
        <v>294</v>
      </c>
      <c r="B8" s="208"/>
      <c r="C8" s="207"/>
      <c r="D8" s="208"/>
      <c r="E8" s="212"/>
      <c r="F8" s="108"/>
      <c r="G8" s="250"/>
      <c r="H8" s="250"/>
      <c r="I8" s="250"/>
      <c r="J8" s="250"/>
      <c r="K8" s="250"/>
      <c r="L8" s="928"/>
      <c r="M8" s="928"/>
      <c r="N8" s="928"/>
      <c r="O8" s="928"/>
      <c r="P8" s="928"/>
      <c r="Q8" s="928"/>
      <c r="R8" s="928"/>
    </row>
    <row r="9" spans="1:18" s="272" customFormat="1" ht="13.5" customHeight="1">
      <c r="A9" s="45" t="s">
        <v>295</v>
      </c>
      <c r="B9" s="208"/>
      <c r="C9" s="207"/>
      <c r="D9" s="208"/>
      <c r="E9" s="212"/>
      <c r="F9" s="108"/>
      <c r="G9" s="250"/>
      <c r="H9" s="250"/>
      <c r="I9" s="250"/>
      <c r="J9" s="250"/>
      <c r="K9" s="250"/>
      <c r="L9" s="928"/>
      <c r="M9" s="928"/>
      <c r="N9" s="928"/>
      <c r="O9" s="928"/>
      <c r="P9" s="928"/>
      <c r="Q9" s="928"/>
      <c r="R9" s="928"/>
    </row>
    <row r="10" spans="1:18" s="272" customFormat="1" ht="13.5" customHeight="1">
      <c r="A10" s="45" t="s">
        <v>296</v>
      </c>
      <c r="B10" s="208"/>
      <c r="C10" s="207"/>
      <c r="D10" s="208"/>
      <c r="E10" s="212"/>
      <c r="F10" s="108"/>
      <c r="G10" s="250"/>
      <c r="H10" s="250"/>
      <c r="I10" s="250"/>
      <c r="J10" s="250"/>
      <c r="K10" s="250"/>
      <c r="L10" s="928"/>
      <c r="M10" s="928"/>
      <c r="N10" s="928"/>
      <c r="O10" s="928"/>
      <c r="P10" s="928"/>
      <c r="Q10" s="928"/>
      <c r="R10" s="928"/>
    </row>
    <row r="11" spans="1:18" s="272" customFormat="1" ht="13.5" customHeight="1">
      <c r="A11" s="45" t="s">
        <v>297</v>
      </c>
      <c r="B11" s="208"/>
      <c r="C11" s="207"/>
      <c r="D11" s="208"/>
      <c r="E11" s="212"/>
      <c r="F11" s="108"/>
      <c r="G11" s="250"/>
      <c r="H11" s="250"/>
      <c r="I11" s="250"/>
      <c r="J11" s="250"/>
      <c r="K11" s="250"/>
      <c r="L11" s="928"/>
      <c r="M11" s="928"/>
      <c r="N11" s="928"/>
      <c r="O11" s="928"/>
      <c r="P11" s="928"/>
      <c r="Q11" s="928"/>
      <c r="R11" s="928"/>
    </row>
    <row r="12" spans="1:18" s="272" customFormat="1" ht="13.5" customHeight="1" thickBot="1">
      <c r="A12" s="49" t="s">
        <v>298</v>
      </c>
      <c r="B12" s="205"/>
      <c r="C12" s="204"/>
      <c r="D12" s="205"/>
      <c r="E12" s="230"/>
      <c r="F12" s="108"/>
      <c r="G12" s="250"/>
      <c r="H12" s="250"/>
      <c r="I12" s="250"/>
      <c r="J12" s="250"/>
      <c r="K12" s="250"/>
      <c r="L12" s="928"/>
      <c r="M12" s="928"/>
      <c r="N12" s="928"/>
      <c r="O12" s="928"/>
      <c r="P12" s="928"/>
      <c r="Q12" s="928"/>
      <c r="R12" s="928"/>
    </row>
    <row r="13" spans="1:18" s="272" customFormat="1" ht="13.5" customHeight="1">
      <c r="A13" s="52" t="s">
        <v>1365</v>
      </c>
      <c r="B13" s="13"/>
      <c r="C13" s="199"/>
      <c r="D13" s="106"/>
      <c r="E13" s="197"/>
      <c r="F13" s="108"/>
      <c r="G13" s="250"/>
      <c r="H13" s="250"/>
      <c r="I13" s="250"/>
      <c r="J13" s="250"/>
      <c r="K13" s="250"/>
      <c r="L13" s="928"/>
      <c r="M13" s="928"/>
      <c r="N13" s="928"/>
      <c r="O13" s="928"/>
      <c r="P13" s="928"/>
      <c r="Q13" s="928"/>
      <c r="R13" s="928"/>
    </row>
    <row r="14" spans="1:18" s="272" customFormat="1" ht="13.5" customHeight="1">
      <c r="A14" s="52" t="s">
        <v>299</v>
      </c>
      <c r="B14" s="13"/>
      <c r="C14" s="199"/>
      <c r="D14" s="106"/>
      <c r="E14" s="197"/>
      <c r="F14" s="108"/>
      <c r="G14" s="250"/>
      <c r="H14" s="250"/>
      <c r="I14" s="250"/>
      <c r="J14" s="250"/>
      <c r="K14" s="250"/>
      <c r="L14" s="928"/>
      <c r="M14" s="928"/>
      <c r="N14" s="928"/>
      <c r="O14" s="928"/>
      <c r="P14" s="928"/>
      <c r="Q14" s="928"/>
      <c r="R14" s="928"/>
    </row>
    <row r="15" spans="1:18" s="272" customFormat="1" ht="13.5" customHeight="1">
      <c r="A15" s="52" t="s">
        <v>1421</v>
      </c>
      <c r="B15" s="13"/>
      <c r="C15" s="199"/>
      <c r="D15" s="106"/>
      <c r="E15" s="197"/>
      <c r="F15" s="108"/>
      <c r="G15" s="250"/>
      <c r="H15" s="250"/>
      <c r="I15" s="250"/>
      <c r="J15" s="250"/>
      <c r="K15" s="250"/>
      <c r="L15" s="928"/>
      <c r="M15" s="928"/>
      <c r="N15" s="928"/>
      <c r="O15" s="928"/>
      <c r="P15" s="928"/>
      <c r="Q15" s="928"/>
      <c r="R15" s="928"/>
    </row>
    <row r="16" spans="1:18" s="272" customFormat="1" ht="13.5" customHeight="1" thickBot="1">
      <c r="A16" s="52" t="s">
        <v>11</v>
      </c>
      <c r="B16" s="13"/>
      <c r="C16" s="199"/>
      <c r="D16" s="106"/>
      <c r="E16" s="197"/>
      <c r="F16" s="108"/>
      <c r="G16" s="250"/>
      <c r="H16" s="250"/>
      <c r="I16" s="250"/>
      <c r="J16" s="250"/>
      <c r="K16" s="250"/>
      <c r="L16" s="928"/>
      <c r="M16" s="928"/>
      <c r="N16" s="928"/>
      <c r="O16" s="928"/>
      <c r="P16" s="928"/>
      <c r="Q16" s="928"/>
      <c r="R16" s="928"/>
    </row>
    <row r="17" spans="1:18" s="272" customFormat="1" ht="13.5" customHeight="1" thickBot="1">
      <c r="A17" s="54" t="s">
        <v>257</v>
      </c>
      <c r="B17" s="192"/>
      <c r="C17" s="274"/>
      <c r="D17" s="275"/>
      <c r="E17" s="276">
        <f>C19+C42+C57+C79+C89</f>
        <v>23671086</v>
      </c>
      <c r="F17" s="108"/>
      <c r="G17" s="250"/>
      <c r="H17" s="250"/>
      <c r="I17" s="250"/>
      <c r="J17" s="250"/>
      <c r="K17" s="250"/>
      <c r="L17" s="928"/>
      <c r="M17" s="928"/>
      <c r="N17" s="928"/>
      <c r="O17" s="928"/>
      <c r="P17" s="928"/>
      <c r="Q17" s="928"/>
      <c r="R17" s="928"/>
    </row>
    <row r="18" spans="1:18" s="222" customFormat="1" ht="13.5" customHeight="1" thickBot="1">
      <c r="A18" s="12"/>
      <c r="B18" s="12"/>
      <c r="C18" s="199"/>
      <c r="D18" s="106"/>
      <c r="E18" s="106"/>
      <c r="F18" s="108"/>
      <c r="G18" s="250"/>
      <c r="H18" s="250"/>
      <c r="I18" s="250"/>
      <c r="J18" s="250"/>
      <c r="K18" s="250"/>
      <c r="L18" s="109"/>
      <c r="M18" s="109"/>
      <c r="N18" s="109"/>
      <c r="O18" s="109"/>
      <c r="P18" s="109"/>
      <c r="Q18" s="109"/>
      <c r="R18" s="109"/>
    </row>
    <row r="19" spans="1:18" s="279" customFormat="1" ht="13.5" customHeight="1" thickBot="1">
      <c r="A19" s="945" t="s">
        <v>1</v>
      </c>
      <c r="B19" s="946"/>
      <c r="C19" s="40">
        <f>C20+C27+C34</f>
        <v>22704786</v>
      </c>
      <c r="D19" s="106"/>
      <c r="E19" s="277"/>
      <c r="F19" s="108"/>
      <c r="G19" s="278"/>
      <c r="H19" s="250"/>
      <c r="I19" s="250"/>
      <c r="J19" s="250"/>
      <c r="K19" s="250"/>
      <c r="L19" s="289"/>
      <c r="M19" s="289"/>
      <c r="N19" s="289"/>
      <c r="O19" s="289"/>
      <c r="P19" s="289"/>
      <c r="Q19" s="289"/>
      <c r="R19" s="289"/>
    </row>
    <row r="20" spans="1:18" s="9" customFormat="1" ht="12.75" customHeight="1">
      <c r="A20" s="12" t="s">
        <v>107</v>
      </c>
      <c r="B20" s="286" t="s">
        <v>108</v>
      </c>
      <c r="C20" s="96">
        <f>SUM(C21:C26)</f>
        <v>10306395</v>
      </c>
      <c r="D20" s="23"/>
      <c r="E20" s="26"/>
      <c r="F20" s="140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s="9" customFormat="1" ht="12.75" customHeight="1" hidden="1">
      <c r="A21" s="13" t="s">
        <v>27</v>
      </c>
      <c r="B21" s="25" t="s">
        <v>24</v>
      </c>
      <c r="C21" s="821">
        <f>7898774</f>
        <v>7898774</v>
      </c>
      <c r="D21" s="23"/>
      <c r="E21" s="26"/>
      <c r="F21" s="140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s="9" customFormat="1" ht="12.75" customHeight="1" hidden="1">
      <c r="A22" s="13" t="s">
        <v>28</v>
      </c>
      <c r="B22" s="25" t="s">
        <v>26</v>
      </c>
      <c r="C22" s="821">
        <f>1569138+352386</f>
        <v>1921524</v>
      </c>
      <c r="D22" s="23"/>
      <c r="E22" s="26"/>
      <c r="F22" s="140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s="9" customFormat="1" ht="12.75" customHeight="1" hidden="1">
      <c r="A23" s="13" t="s">
        <v>29</v>
      </c>
      <c r="B23" s="25" t="s">
        <v>86</v>
      </c>
      <c r="C23" s="821">
        <f>25000+322076+11552</f>
        <v>358628</v>
      </c>
      <c r="D23" s="23"/>
      <c r="E23" s="26"/>
      <c r="F23" s="140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s="9" customFormat="1" ht="12.75" customHeight="1" hidden="1">
      <c r="A24" s="13" t="s">
        <v>30</v>
      </c>
      <c r="B24" s="25" t="s">
        <v>87</v>
      </c>
      <c r="C24" s="821">
        <v>1</v>
      </c>
      <c r="D24" s="23"/>
      <c r="E24" s="26"/>
      <c r="F24" s="140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s="9" customFormat="1" ht="12.75" customHeight="1" hidden="1">
      <c r="A25" s="13" t="s">
        <v>31</v>
      </c>
      <c r="B25" s="25" t="s">
        <v>25</v>
      </c>
      <c r="C25" s="821">
        <f>9100+90904</f>
        <v>100004</v>
      </c>
      <c r="D25" s="23"/>
      <c r="E25" s="26"/>
      <c r="F25" s="14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 s="9" customFormat="1" ht="12.75" customHeight="1" hidden="1">
      <c r="A26" s="13" t="s">
        <v>32</v>
      </c>
      <c r="B26" s="25" t="s">
        <v>23</v>
      </c>
      <c r="C26" s="821">
        <f>27463.11+0.89</f>
        <v>27464</v>
      </c>
      <c r="D26" s="23"/>
      <c r="E26" s="26"/>
      <c r="F26" s="140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s="9" customFormat="1" ht="12.75" customHeight="1">
      <c r="A27" s="12" t="s">
        <v>109</v>
      </c>
      <c r="B27" s="33" t="s">
        <v>110</v>
      </c>
      <c r="C27" s="33">
        <f>SUM(C28:C33)</f>
        <v>7753130</v>
      </c>
      <c r="D27" s="23"/>
      <c r="E27" s="26"/>
      <c r="F27" s="140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s="10" customFormat="1" ht="12.75" customHeight="1" hidden="1">
      <c r="A28" s="13" t="s">
        <v>34</v>
      </c>
      <c r="B28" s="25" t="s">
        <v>88</v>
      </c>
      <c r="C28" s="821">
        <v>6020020</v>
      </c>
      <c r="D28" s="23"/>
      <c r="E28" s="26"/>
      <c r="F28" s="225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18" s="10" customFormat="1" ht="12.75" customHeight="1" hidden="1">
      <c r="A29" s="13" t="s">
        <v>35</v>
      </c>
      <c r="B29" s="25" t="s">
        <v>89</v>
      </c>
      <c r="C29" s="821">
        <f>1204005+270901</f>
        <v>1474906</v>
      </c>
      <c r="D29" s="23"/>
      <c r="E29" s="26"/>
      <c r="F29" s="225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1:18" s="10" customFormat="1" ht="12.75" customHeight="1" hidden="1">
      <c r="A30" s="13" t="s">
        <v>36</v>
      </c>
      <c r="B30" s="25" t="s">
        <v>90</v>
      </c>
      <c r="C30" s="821">
        <f>250775+7426</f>
        <v>258201</v>
      </c>
      <c r="D30" s="23"/>
      <c r="E30" s="26"/>
      <c r="F30" s="225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s="10" customFormat="1" ht="12.75" customHeight="1" hidden="1">
      <c r="A31" s="13" t="s">
        <v>37</v>
      </c>
      <c r="B31" s="25" t="s">
        <v>91</v>
      </c>
      <c r="C31" s="821">
        <v>1</v>
      </c>
      <c r="D31" s="23"/>
      <c r="E31" s="26"/>
      <c r="F31" s="225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0" customFormat="1" ht="12.75" customHeight="1" hidden="1">
      <c r="A32" s="13" t="s">
        <v>38</v>
      </c>
      <c r="B32" s="25" t="s">
        <v>33</v>
      </c>
      <c r="C32" s="821">
        <v>1</v>
      </c>
      <c r="D32" s="23"/>
      <c r="E32" s="26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s="9" customFormat="1" ht="12.75" customHeight="1" hidden="1">
      <c r="A33" s="13" t="s">
        <v>93</v>
      </c>
      <c r="B33" s="25" t="s">
        <v>92</v>
      </c>
      <c r="C33" s="821">
        <v>1</v>
      </c>
      <c r="D33" s="23"/>
      <c r="E33" s="2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s="9" customFormat="1" ht="12.75" customHeight="1">
      <c r="A34" s="12" t="s">
        <v>111</v>
      </c>
      <c r="B34" s="33" t="s">
        <v>112</v>
      </c>
      <c r="C34" s="33">
        <f>SUM(C35:C40)</f>
        <v>4645261</v>
      </c>
      <c r="D34" s="23"/>
      <c r="E34" s="26"/>
      <c r="F34" s="140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s="10" customFormat="1" ht="12.75" customHeight="1" hidden="1">
      <c r="A35" s="13" t="s">
        <v>43</v>
      </c>
      <c r="B35" s="25" t="s">
        <v>39</v>
      </c>
      <c r="C35" s="821">
        <v>3482452</v>
      </c>
      <c r="D35" s="23"/>
      <c r="E35" s="26"/>
      <c r="F35" s="225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8" s="10" customFormat="1" ht="12.75" customHeight="1" hidden="1">
      <c r="A36" s="13" t="s">
        <v>44</v>
      </c>
      <c r="B36" s="25" t="s">
        <v>41</v>
      </c>
      <c r="C36" s="821">
        <f>695580+156506</f>
        <v>852086</v>
      </c>
      <c r="D36" s="23"/>
      <c r="E36" s="26"/>
      <c r="F36" s="225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1:18" s="10" customFormat="1" ht="12.75" customHeight="1" hidden="1">
      <c r="A37" s="13" t="s">
        <v>45</v>
      </c>
      <c r="B37" s="25" t="s">
        <v>94</v>
      </c>
      <c r="C37" s="821">
        <f>145275+7426</f>
        <v>152701</v>
      </c>
      <c r="D37" s="23"/>
      <c r="E37" s="26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s="9" customFormat="1" ht="12.75" customHeight="1" hidden="1">
      <c r="A38" s="13" t="s">
        <v>46</v>
      </c>
      <c r="B38" s="25" t="s">
        <v>95</v>
      </c>
      <c r="C38" s="821">
        <v>1</v>
      </c>
      <c r="D38" s="23"/>
      <c r="E38" s="26"/>
      <c r="F38" s="140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s="9" customFormat="1" ht="12.75" customHeight="1" hidden="1">
      <c r="A39" s="13" t="s">
        <v>47</v>
      </c>
      <c r="B39" s="25" t="s">
        <v>40</v>
      </c>
      <c r="C39" s="821">
        <f>9800+148220</f>
        <v>158020</v>
      </c>
      <c r="D39" s="23"/>
      <c r="E39" s="26"/>
      <c r="F39" s="14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s="10" customFormat="1" ht="12.75" customHeight="1" hidden="1">
      <c r="A40" s="13" t="s">
        <v>48</v>
      </c>
      <c r="B40" s="25" t="s">
        <v>42</v>
      </c>
      <c r="C40" s="821">
        <v>1</v>
      </c>
      <c r="D40" s="23"/>
      <c r="E40" s="26"/>
      <c r="F40" s="225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</row>
    <row r="41" spans="1:18" s="279" customFormat="1" ht="13.5" customHeight="1" thickBot="1">
      <c r="A41" s="13"/>
      <c r="B41" s="13"/>
      <c r="C41" s="25"/>
      <c r="D41" s="25"/>
      <c r="E41" s="106"/>
      <c r="F41" s="108"/>
      <c r="G41" s="250"/>
      <c r="H41" s="250"/>
      <c r="I41" s="250"/>
      <c r="J41" s="250"/>
      <c r="K41" s="250"/>
      <c r="L41" s="289"/>
      <c r="M41" s="289"/>
      <c r="N41" s="289"/>
      <c r="O41" s="289"/>
      <c r="P41" s="289"/>
      <c r="Q41" s="289"/>
      <c r="R41" s="289"/>
    </row>
    <row r="42" spans="1:18" s="279" customFormat="1" ht="13.5" customHeight="1" thickBot="1">
      <c r="A42" s="947" t="s">
        <v>2</v>
      </c>
      <c r="B42" s="948"/>
      <c r="C42" s="38">
        <f>C43+C45+C48+C50+C52</f>
        <v>215300</v>
      </c>
      <c r="D42" s="282"/>
      <c r="E42" s="107"/>
      <c r="F42" s="108"/>
      <c r="G42" s="250"/>
      <c r="H42" s="929"/>
      <c r="I42" s="250"/>
      <c r="J42" s="250"/>
      <c r="K42" s="250"/>
      <c r="L42" s="289"/>
      <c r="M42" s="289"/>
      <c r="N42" s="289"/>
      <c r="O42" s="289"/>
      <c r="P42" s="289"/>
      <c r="Q42" s="289"/>
      <c r="R42" s="289"/>
    </row>
    <row r="43" spans="1:11" s="285" customFormat="1" ht="13.5" customHeight="1">
      <c r="A43" s="12" t="s">
        <v>113</v>
      </c>
      <c r="B43" s="404" t="s">
        <v>114</v>
      </c>
      <c r="C43" s="34">
        <f>SUM(C44)</f>
        <v>55500</v>
      </c>
      <c r="D43" s="283"/>
      <c r="E43" s="142"/>
      <c r="F43" s="225"/>
      <c r="G43" s="224"/>
      <c r="H43" s="284"/>
      <c r="I43" s="224"/>
      <c r="J43" s="224"/>
      <c r="K43" s="224"/>
    </row>
    <row r="44" spans="1:7" s="57" customFormat="1" ht="13.5" customHeight="1" hidden="1">
      <c r="A44" s="13" t="s">
        <v>50</v>
      </c>
      <c r="B44" s="9" t="s">
        <v>49</v>
      </c>
      <c r="C44" s="821">
        <v>55500</v>
      </c>
      <c r="D44" s="23"/>
      <c r="E44" s="33"/>
      <c r="G44" s="71"/>
    </row>
    <row r="45" spans="1:7" s="57" customFormat="1" ht="13.5" customHeight="1">
      <c r="A45" s="12" t="s">
        <v>115</v>
      </c>
      <c r="B45" s="791" t="s">
        <v>116</v>
      </c>
      <c r="C45" s="33">
        <f>SUM(C46:C47)</f>
        <v>34400</v>
      </c>
      <c r="D45" s="23"/>
      <c r="E45" s="33"/>
      <c r="G45" s="71"/>
    </row>
    <row r="46" spans="1:7" s="57" customFormat="1" ht="13.5" customHeight="1" hidden="1">
      <c r="A46" s="13" t="s">
        <v>72</v>
      </c>
      <c r="B46" s="9" t="s">
        <v>73</v>
      </c>
      <c r="C46" s="821">
        <v>14900</v>
      </c>
      <c r="D46" s="23"/>
      <c r="E46" s="33"/>
      <c r="G46" s="71"/>
    </row>
    <row r="47" spans="1:7" s="57" customFormat="1" ht="13.5" customHeight="1" hidden="1">
      <c r="A47" s="13" t="s">
        <v>96</v>
      </c>
      <c r="B47" s="9" t="s">
        <v>71</v>
      </c>
      <c r="C47" s="821">
        <v>19500</v>
      </c>
      <c r="D47" s="23"/>
      <c r="E47" s="33"/>
      <c r="G47" s="71"/>
    </row>
    <row r="48" spans="1:7" s="57" customFormat="1" ht="13.5" customHeight="1">
      <c r="A48" s="12" t="s">
        <v>117</v>
      </c>
      <c r="B48" s="791" t="s">
        <v>118</v>
      </c>
      <c r="C48" s="33">
        <f>SUM(C49)</f>
        <v>77100</v>
      </c>
      <c r="D48" s="23"/>
      <c r="E48" s="33"/>
      <c r="G48" s="71"/>
    </row>
    <row r="49" spans="1:18" s="9" customFormat="1" ht="13.5" customHeight="1" hidden="1">
      <c r="A49" s="13" t="s">
        <v>51</v>
      </c>
      <c r="B49" s="24" t="s">
        <v>52</v>
      </c>
      <c r="C49" s="821">
        <v>77100</v>
      </c>
      <c r="D49" s="115"/>
      <c r="E49" s="26"/>
      <c r="F49" s="140"/>
      <c r="G49" s="71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s="9" customFormat="1" ht="13.5" customHeight="1">
      <c r="A50" s="353" t="s">
        <v>129</v>
      </c>
      <c r="B50" s="26" t="s">
        <v>119</v>
      </c>
      <c r="C50" s="26">
        <f>SUM(C51)</f>
        <v>9800</v>
      </c>
      <c r="D50" s="115"/>
      <c r="E50" s="26"/>
      <c r="F50" s="140"/>
      <c r="G50" s="71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s="100" customFormat="1" ht="13.5" hidden="1">
      <c r="A51" s="107" t="s">
        <v>168</v>
      </c>
      <c r="B51" s="24" t="s">
        <v>74</v>
      </c>
      <c r="C51" s="822">
        <v>9800</v>
      </c>
      <c r="D51" s="102"/>
      <c r="E51" s="102"/>
      <c r="F51" s="86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1:18" s="100" customFormat="1" ht="13.5">
      <c r="A52" s="353" t="s">
        <v>169</v>
      </c>
      <c r="B52" s="26" t="s">
        <v>144</v>
      </c>
      <c r="C52" s="811">
        <f>SUM(C53:C55)</f>
        <v>38500</v>
      </c>
      <c r="D52" s="102"/>
      <c r="E52" s="102"/>
      <c r="F52" s="86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1:18" s="9" customFormat="1" ht="13.5" customHeight="1" hidden="1">
      <c r="A53" s="107" t="s">
        <v>170</v>
      </c>
      <c r="B53" s="24" t="s">
        <v>70</v>
      </c>
      <c r="C53" s="821">
        <v>8550</v>
      </c>
      <c r="D53" s="115"/>
      <c r="E53" s="26"/>
      <c r="F53" s="140"/>
      <c r="G53" s="71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s="9" customFormat="1" ht="13.5" customHeight="1" hidden="1">
      <c r="A54" s="107" t="s">
        <v>171</v>
      </c>
      <c r="B54" s="24" t="s">
        <v>75</v>
      </c>
      <c r="C54" s="821">
        <v>13500</v>
      </c>
      <c r="D54" s="115"/>
      <c r="E54" s="26"/>
      <c r="F54" s="140"/>
      <c r="G54" s="71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s="9" customFormat="1" ht="13.5" customHeight="1" hidden="1">
      <c r="A55" s="107" t="s">
        <v>173</v>
      </c>
      <c r="B55" s="24" t="s">
        <v>144</v>
      </c>
      <c r="C55" s="821">
        <v>16450</v>
      </c>
      <c r="D55" s="115"/>
      <c r="E55" s="26"/>
      <c r="F55" s="286"/>
      <c r="G55" s="71"/>
      <c r="H55" s="109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s="279" customFormat="1" ht="13.5" customHeight="1" thickBot="1">
      <c r="A56" s="107"/>
      <c r="B56" s="287"/>
      <c r="C56" s="24"/>
      <c r="D56" s="184"/>
      <c r="E56" s="107"/>
      <c r="F56" s="108"/>
      <c r="G56" s="250"/>
      <c r="H56" s="250"/>
      <c r="I56" s="250"/>
      <c r="J56" s="250"/>
      <c r="K56" s="250"/>
      <c r="L56" s="289"/>
      <c r="M56" s="289"/>
      <c r="N56" s="289"/>
      <c r="O56" s="289"/>
      <c r="P56" s="289"/>
      <c r="Q56" s="289"/>
      <c r="R56" s="289"/>
    </row>
    <row r="57" spans="1:18" s="279" customFormat="1" ht="13.5" customHeight="1" thickBot="1">
      <c r="A57" s="949" t="s">
        <v>3</v>
      </c>
      <c r="B57" s="950"/>
      <c r="C57" s="36">
        <f>C58+C61+C64+C67+C69+C71</f>
        <v>481650</v>
      </c>
      <c r="D57" s="107"/>
      <c r="E57" s="107"/>
      <c r="F57" s="108"/>
      <c r="G57" s="250"/>
      <c r="H57" s="250"/>
      <c r="I57" s="929"/>
      <c r="J57" s="250"/>
      <c r="K57" s="250"/>
      <c r="L57" s="289"/>
      <c r="M57" s="289"/>
      <c r="N57" s="289"/>
      <c r="O57" s="289"/>
      <c r="P57" s="289"/>
      <c r="Q57" s="289"/>
      <c r="R57" s="289"/>
    </row>
    <row r="58" spans="1:11" s="285" customFormat="1" ht="13.5" customHeight="1">
      <c r="A58" s="95" t="s">
        <v>120</v>
      </c>
      <c r="B58" s="404" t="s">
        <v>121</v>
      </c>
      <c r="C58" s="34">
        <f>SUM(C59:C60)</f>
        <v>8550</v>
      </c>
      <c r="D58" s="142"/>
      <c r="E58" s="142"/>
      <c r="F58" s="225"/>
      <c r="G58" s="224"/>
      <c r="H58" s="224"/>
      <c r="I58" s="284"/>
      <c r="J58" s="224"/>
      <c r="K58" s="224"/>
    </row>
    <row r="59" spans="1:11" s="285" customFormat="1" ht="13.5" customHeight="1" hidden="1">
      <c r="A59" s="86" t="s">
        <v>179</v>
      </c>
      <c r="B59" s="57" t="s">
        <v>178</v>
      </c>
      <c r="C59" s="824"/>
      <c r="D59" s="142"/>
      <c r="E59" s="142"/>
      <c r="F59" s="225"/>
      <c r="G59" s="224"/>
      <c r="H59" s="224"/>
      <c r="I59" s="284"/>
      <c r="J59" s="224"/>
      <c r="K59" s="224"/>
    </row>
    <row r="60" spans="1:18" s="9" customFormat="1" ht="13.5" customHeight="1" hidden="1">
      <c r="A60" s="86" t="s">
        <v>57</v>
      </c>
      <c r="B60" s="86" t="s">
        <v>18</v>
      </c>
      <c r="C60" s="821">
        <v>8550</v>
      </c>
      <c r="F60" s="252"/>
      <c r="G60" s="33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s="9" customFormat="1" ht="13.5" customHeight="1">
      <c r="A61" s="95" t="s">
        <v>130</v>
      </c>
      <c r="B61" s="95" t="s">
        <v>131</v>
      </c>
      <c r="C61" s="33">
        <f>SUM(C62:C63)</f>
        <v>21000</v>
      </c>
      <c r="F61" s="252"/>
      <c r="G61" s="33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s="9" customFormat="1" ht="13.5" customHeight="1" hidden="1">
      <c r="A62" s="86" t="s">
        <v>300</v>
      </c>
      <c r="B62" s="57" t="s">
        <v>301</v>
      </c>
      <c r="C62" s="821">
        <v>5500</v>
      </c>
      <c r="F62" s="252"/>
      <c r="G62" s="33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s="9" customFormat="1" ht="13.5" customHeight="1" hidden="1">
      <c r="A63" s="86" t="s">
        <v>148</v>
      </c>
      <c r="B63" s="86" t="s">
        <v>77</v>
      </c>
      <c r="C63" s="821">
        <v>15500</v>
      </c>
      <c r="F63" s="23"/>
      <c r="G63" s="33"/>
      <c r="H63" s="71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s="9" customFormat="1" ht="13.5" customHeight="1">
      <c r="A64" s="12" t="s">
        <v>122</v>
      </c>
      <c r="B64" s="95" t="s">
        <v>175</v>
      </c>
      <c r="C64" s="33">
        <f>SUM(C65:C66)</f>
        <v>133600</v>
      </c>
      <c r="F64" s="252"/>
      <c r="G64" s="33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7" s="78" customFormat="1" ht="13.5" hidden="1">
      <c r="A65" s="13" t="s">
        <v>150</v>
      </c>
      <c r="B65" s="86" t="s">
        <v>302</v>
      </c>
      <c r="C65" s="822">
        <v>6600</v>
      </c>
      <c r="F65" s="96"/>
      <c r="G65" s="79"/>
    </row>
    <row r="66" spans="1:7" s="78" customFormat="1" ht="13.5" hidden="1">
      <c r="A66" s="13" t="s">
        <v>53</v>
      </c>
      <c r="B66" s="25" t="s">
        <v>97</v>
      </c>
      <c r="C66" s="822">
        <f>117000+10000</f>
        <v>127000</v>
      </c>
      <c r="F66" s="87"/>
      <c r="G66" s="79"/>
    </row>
    <row r="67" spans="1:7" s="78" customFormat="1" ht="13.5">
      <c r="A67" s="12" t="s">
        <v>123</v>
      </c>
      <c r="B67" s="33" t="s">
        <v>124</v>
      </c>
      <c r="C67" s="96">
        <f>SUM(C68:C68)</f>
        <v>7500</v>
      </c>
      <c r="F67" s="87"/>
      <c r="G67" s="79"/>
    </row>
    <row r="68" spans="1:7" s="78" customFormat="1" ht="13.5" hidden="1">
      <c r="A68" s="13" t="s">
        <v>98</v>
      </c>
      <c r="B68" s="25" t="s">
        <v>69</v>
      </c>
      <c r="C68" s="822">
        <v>7500</v>
      </c>
      <c r="F68" s="87"/>
      <c r="G68" s="79"/>
    </row>
    <row r="69" spans="1:7" s="78" customFormat="1" ht="13.5">
      <c r="A69" s="12" t="s">
        <v>143</v>
      </c>
      <c r="B69" s="33" t="s">
        <v>61</v>
      </c>
      <c r="C69" s="96">
        <f>SUM(C70)</f>
        <v>15400</v>
      </c>
      <c r="F69" s="87"/>
      <c r="G69" s="79"/>
    </row>
    <row r="70" spans="1:7" s="78" customFormat="1" ht="13.5" hidden="1">
      <c r="A70" s="13" t="s">
        <v>60</v>
      </c>
      <c r="B70" s="86" t="s">
        <v>61</v>
      </c>
      <c r="C70" s="822">
        <v>15400</v>
      </c>
      <c r="F70" s="87"/>
      <c r="G70" s="79"/>
    </row>
    <row r="71" spans="1:7" s="78" customFormat="1" ht="13.5">
      <c r="A71" s="12" t="s">
        <v>125</v>
      </c>
      <c r="B71" s="33" t="s">
        <v>8</v>
      </c>
      <c r="C71" s="96">
        <f>SUM(C72:C77)</f>
        <v>295600</v>
      </c>
      <c r="F71" s="87"/>
      <c r="G71" s="79"/>
    </row>
    <row r="72" spans="1:255" s="78" customFormat="1" ht="13.5" hidden="1">
      <c r="A72" s="13" t="s">
        <v>102</v>
      </c>
      <c r="B72" s="25" t="s">
        <v>8</v>
      </c>
      <c r="C72" s="822">
        <f>84600+15000</f>
        <v>99600</v>
      </c>
      <c r="F72" s="79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</row>
    <row r="73" spans="1:6" s="78" customFormat="1" ht="13.5" hidden="1">
      <c r="A73" s="13" t="s">
        <v>205</v>
      </c>
      <c r="B73" s="25" t="s">
        <v>54</v>
      </c>
      <c r="C73" s="822">
        <v>70000</v>
      </c>
      <c r="D73" s="96"/>
      <c r="E73" s="79"/>
      <c r="F73" s="87"/>
    </row>
    <row r="74" spans="1:255" s="78" customFormat="1" ht="13.5" hidden="1">
      <c r="A74" s="13" t="s">
        <v>203</v>
      </c>
      <c r="B74" s="86" t="s">
        <v>202</v>
      </c>
      <c r="C74" s="822">
        <v>7500</v>
      </c>
      <c r="D74" s="87"/>
      <c r="E74" s="79"/>
      <c r="F74" s="87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0"/>
    </row>
    <row r="75" spans="1:255" s="78" customFormat="1" ht="13.5" hidden="1">
      <c r="A75" s="107" t="s">
        <v>268</v>
      </c>
      <c r="B75" s="25" t="s">
        <v>267</v>
      </c>
      <c r="C75" s="821">
        <v>25000</v>
      </c>
      <c r="D75" s="87"/>
      <c r="E75" s="79"/>
      <c r="F75" s="87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</row>
    <row r="76" spans="1:255" s="78" customFormat="1" ht="13.5" hidden="1">
      <c r="A76" s="13" t="s">
        <v>266</v>
      </c>
      <c r="B76" s="57" t="s">
        <v>265</v>
      </c>
      <c r="C76" s="822">
        <v>76000</v>
      </c>
      <c r="D76" s="87"/>
      <c r="E76" s="79"/>
      <c r="F76" s="87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</row>
    <row r="77" spans="1:255" s="100" customFormat="1" ht="13.5" hidden="1">
      <c r="A77" s="13" t="s">
        <v>100</v>
      </c>
      <c r="B77" s="25" t="s">
        <v>7</v>
      </c>
      <c r="C77" s="822">
        <v>17500</v>
      </c>
      <c r="D77" s="26"/>
      <c r="E77" s="288"/>
      <c r="F77" s="8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</row>
    <row r="78" spans="1:18" s="279" customFormat="1" ht="13.5" customHeight="1" thickBot="1">
      <c r="A78" s="107"/>
      <c r="B78" s="107"/>
      <c r="C78" s="24"/>
      <c r="D78" s="12"/>
      <c r="E78" s="25"/>
      <c r="F78" s="108"/>
      <c r="G78" s="250"/>
      <c r="H78" s="250"/>
      <c r="I78" s="250"/>
      <c r="J78" s="250"/>
      <c r="K78" s="250"/>
      <c r="L78" s="289"/>
      <c r="M78" s="289"/>
      <c r="N78" s="289"/>
      <c r="O78" s="289"/>
      <c r="P78" s="289"/>
      <c r="Q78" s="289"/>
      <c r="R78" s="289"/>
    </row>
    <row r="79" spans="1:18" s="279" customFormat="1" ht="13.5" customHeight="1" thickBot="1">
      <c r="A79" s="953" t="s">
        <v>5</v>
      </c>
      <c r="B79" s="954"/>
      <c r="C79" s="37">
        <f>C80+C83</f>
        <v>235000</v>
      </c>
      <c r="D79" s="13"/>
      <c r="E79" s="13"/>
      <c r="F79" s="108"/>
      <c r="G79" s="250"/>
      <c r="H79" s="250"/>
      <c r="I79" s="250"/>
      <c r="J79" s="929"/>
      <c r="K79" s="250"/>
      <c r="L79" s="289"/>
      <c r="M79" s="289"/>
      <c r="N79" s="289"/>
      <c r="O79" s="289"/>
      <c r="P79" s="289"/>
      <c r="Q79" s="289"/>
      <c r="R79" s="289"/>
    </row>
    <row r="80" spans="1:11" s="285" customFormat="1" ht="13.5" customHeight="1">
      <c r="A80" s="353" t="s">
        <v>137</v>
      </c>
      <c r="B80" s="404" t="s">
        <v>138</v>
      </c>
      <c r="C80" s="34">
        <f>SUM(C81:C82)</f>
        <v>110000</v>
      </c>
      <c r="D80" s="142"/>
      <c r="E80" s="142"/>
      <c r="F80" s="137"/>
      <c r="G80" s="224"/>
      <c r="H80" s="224"/>
      <c r="I80" s="224"/>
      <c r="J80" s="284"/>
      <c r="K80" s="224"/>
    </row>
    <row r="81" spans="1:7" s="57" customFormat="1" ht="13.5" hidden="1">
      <c r="A81" s="107" t="s">
        <v>68</v>
      </c>
      <c r="B81" s="25" t="s">
        <v>67</v>
      </c>
      <c r="C81" s="821">
        <f>150000-100000</f>
        <v>50000</v>
      </c>
      <c r="E81" s="125"/>
      <c r="F81" s="137"/>
      <c r="G81" s="71"/>
    </row>
    <row r="82" spans="1:7" s="57" customFormat="1" ht="13.5" hidden="1">
      <c r="A82" s="107" t="s">
        <v>1161</v>
      </c>
      <c r="B82" s="24" t="s">
        <v>1166</v>
      </c>
      <c r="C82" s="821">
        <f>85000-25000</f>
        <v>60000</v>
      </c>
      <c r="E82" s="125"/>
      <c r="F82" s="137"/>
      <c r="G82" s="71"/>
    </row>
    <row r="83" spans="1:18" s="9" customFormat="1" ht="13.5">
      <c r="A83" s="353" t="s">
        <v>139</v>
      </c>
      <c r="B83" s="353" t="s">
        <v>140</v>
      </c>
      <c r="C83" s="33">
        <f>SUM(C84:C87)</f>
        <v>125000</v>
      </c>
      <c r="E83" s="126"/>
      <c r="F83" s="252"/>
      <c r="G83" s="71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s="9" customFormat="1" ht="13.5" hidden="1">
      <c r="A84" s="107" t="s">
        <v>303</v>
      </c>
      <c r="B84" s="24" t="s">
        <v>304</v>
      </c>
      <c r="C84" s="821">
        <v>10000</v>
      </c>
      <c r="D84" s="137"/>
      <c r="E84" s="125"/>
      <c r="F84" s="252"/>
      <c r="G84" s="71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s="9" customFormat="1" ht="13.5" hidden="1">
      <c r="A85" s="107" t="s">
        <v>305</v>
      </c>
      <c r="B85" s="24" t="s">
        <v>306</v>
      </c>
      <c r="C85" s="821">
        <f>55000-10000</f>
        <v>45000</v>
      </c>
      <c r="D85" s="137"/>
      <c r="E85" s="125"/>
      <c r="F85" s="252"/>
      <c r="G85" s="71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s="9" customFormat="1" ht="13.5" hidden="1">
      <c r="A86" s="107" t="s">
        <v>855</v>
      </c>
      <c r="B86" s="57" t="s">
        <v>856</v>
      </c>
      <c r="C86" s="821">
        <v>20000</v>
      </c>
      <c r="D86" s="137"/>
      <c r="E86" s="125"/>
      <c r="F86" s="252"/>
      <c r="G86" s="71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s="9" customFormat="1" ht="13.5" hidden="1">
      <c r="A87" s="107" t="s">
        <v>157</v>
      </c>
      <c r="B87" s="25" t="s">
        <v>12</v>
      </c>
      <c r="C87" s="821">
        <v>50000</v>
      </c>
      <c r="D87" s="23"/>
      <c r="E87" s="760"/>
      <c r="F87" s="252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255" s="289" customFormat="1" ht="13.5" customHeight="1" thickBot="1">
      <c r="A88" s="13"/>
      <c r="B88" s="86"/>
      <c r="C88" s="87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</row>
    <row r="89" spans="1:18" s="279" customFormat="1" ht="13.5" customHeight="1" thickBot="1">
      <c r="A89" s="951" t="s">
        <v>4</v>
      </c>
      <c r="B89" s="952"/>
      <c r="C89" s="32">
        <f>C90+C92+C94</f>
        <v>34350</v>
      </c>
      <c r="D89" s="25"/>
      <c r="E89" s="290"/>
      <c r="F89" s="108"/>
      <c r="G89" s="250"/>
      <c r="H89" s="250"/>
      <c r="I89" s="250"/>
      <c r="J89" s="250"/>
      <c r="K89" s="250"/>
      <c r="L89" s="289"/>
      <c r="M89" s="289"/>
      <c r="N89" s="289"/>
      <c r="O89" s="289"/>
      <c r="P89" s="289"/>
      <c r="Q89" s="289"/>
      <c r="R89" s="289"/>
    </row>
    <row r="90" spans="1:11" s="285" customFormat="1" ht="13.5" customHeight="1">
      <c r="A90" s="353" t="s">
        <v>126</v>
      </c>
      <c r="B90" s="404" t="s">
        <v>127</v>
      </c>
      <c r="C90" s="34">
        <f>SUM(C91:C91)</f>
        <v>12800</v>
      </c>
      <c r="D90" s="137"/>
      <c r="E90" s="291"/>
      <c r="F90" s="225"/>
      <c r="G90" s="224"/>
      <c r="H90" s="224"/>
      <c r="I90" s="224"/>
      <c r="J90" s="224"/>
      <c r="K90" s="224"/>
    </row>
    <row r="91" spans="1:18" s="9" customFormat="1" ht="13.5" customHeight="1" hidden="1">
      <c r="A91" s="107" t="s">
        <v>101</v>
      </c>
      <c r="B91" s="24" t="s">
        <v>9</v>
      </c>
      <c r="C91" s="821">
        <v>12800</v>
      </c>
      <c r="D91" s="115"/>
      <c r="E91" s="26"/>
      <c r="F91" s="252"/>
      <c r="G91" s="7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s="9" customFormat="1" ht="13.5" customHeight="1">
      <c r="A92" s="353" t="s">
        <v>142</v>
      </c>
      <c r="B92" s="26" t="s">
        <v>55</v>
      </c>
      <c r="C92" s="33">
        <f>SUM(C93)</f>
        <v>17550</v>
      </c>
      <c r="D92" s="115"/>
      <c r="E92" s="26"/>
      <c r="F92" s="252"/>
      <c r="G92" s="71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s="9" customFormat="1" ht="13.5" customHeight="1" hidden="1">
      <c r="A93" s="107" t="s">
        <v>275</v>
      </c>
      <c r="B93" s="24" t="s">
        <v>55</v>
      </c>
      <c r="C93" s="821">
        <v>17550</v>
      </c>
      <c r="D93" s="115"/>
      <c r="E93" s="26"/>
      <c r="F93" s="71"/>
      <c r="G93" s="108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s="9" customFormat="1" ht="13.5" customHeight="1">
      <c r="A94" s="353" t="s">
        <v>188</v>
      </c>
      <c r="B94" s="26" t="s">
        <v>146</v>
      </c>
      <c r="C94" s="26">
        <f>SUM(C95)</f>
        <v>4000</v>
      </c>
      <c r="D94" s="115"/>
      <c r="E94" s="26"/>
      <c r="F94" s="252"/>
      <c r="G94" s="71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s="9" customFormat="1" ht="13.5" customHeight="1" hidden="1">
      <c r="A95" s="107" t="s">
        <v>189</v>
      </c>
      <c r="B95" s="24" t="s">
        <v>56</v>
      </c>
      <c r="C95" s="821">
        <v>4000</v>
      </c>
      <c r="D95" s="115"/>
      <c r="E95" s="26"/>
      <c r="F95" s="252"/>
      <c r="G95" s="71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s="279" customFormat="1" ht="13.5" customHeight="1">
      <c r="A96" s="107"/>
      <c r="B96" s="107"/>
      <c r="C96" s="24"/>
      <c r="D96" s="107"/>
      <c r="E96" s="107"/>
      <c r="F96" s="108"/>
      <c r="G96" s="250"/>
      <c r="H96" s="250"/>
      <c r="I96" s="250"/>
      <c r="J96" s="250"/>
      <c r="K96" s="250"/>
      <c r="L96" s="289"/>
      <c r="M96" s="289"/>
      <c r="N96" s="289"/>
      <c r="O96" s="289"/>
      <c r="P96" s="289"/>
      <c r="Q96" s="289"/>
      <c r="R96" s="289"/>
    </row>
    <row r="97" spans="1:18" s="292" customFormat="1" ht="13.5" customHeight="1" thickBot="1">
      <c r="A97" s="107"/>
      <c r="B97" s="107"/>
      <c r="C97" s="249"/>
      <c r="D97" s="249"/>
      <c r="E97" s="247"/>
      <c r="F97" s="278"/>
      <c r="G97" s="256"/>
      <c r="H97" s="256"/>
      <c r="I97" s="256"/>
      <c r="J97" s="256"/>
      <c r="K97" s="256"/>
      <c r="L97" s="295"/>
      <c r="M97" s="295"/>
      <c r="N97" s="295"/>
      <c r="O97" s="295"/>
      <c r="P97" s="295"/>
      <c r="Q97" s="295"/>
      <c r="R97" s="295"/>
    </row>
    <row r="98" spans="1:18" s="175" customFormat="1" ht="13.5" customHeight="1">
      <c r="A98" s="64" t="s">
        <v>307</v>
      </c>
      <c r="B98" s="221"/>
      <c r="C98" s="220"/>
      <c r="D98" s="219" t="s">
        <v>6</v>
      </c>
      <c r="E98" s="218">
        <v>1202</v>
      </c>
      <c r="F98" s="924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</row>
    <row r="99" spans="1:18" s="175" customFormat="1" ht="13.5" customHeight="1" thickBot="1">
      <c r="A99" s="45"/>
      <c r="B99" s="208" t="s">
        <v>1386</v>
      </c>
      <c r="C99" s="207"/>
      <c r="D99" s="293"/>
      <c r="E99" s="294"/>
      <c r="F99" s="924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</row>
    <row r="100" spans="1:11" s="295" customFormat="1" ht="13.5" customHeight="1">
      <c r="A100" s="64" t="s">
        <v>308</v>
      </c>
      <c r="B100" s="221"/>
      <c r="C100" s="220"/>
      <c r="D100" s="221"/>
      <c r="E100" s="273"/>
      <c r="F100" s="278"/>
      <c r="G100" s="256"/>
      <c r="H100" s="256"/>
      <c r="I100" s="256"/>
      <c r="J100" s="256"/>
      <c r="K100" s="256"/>
    </row>
    <row r="101" spans="1:11" s="295" customFormat="1" ht="13.5" customHeight="1">
      <c r="A101" s="45" t="s">
        <v>309</v>
      </c>
      <c r="B101" s="208"/>
      <c r="C101" s="207"/>
      <c r="D101" s="208"/>
      <c r="E101" s="212"/>
      <c r="F101" s="278"/>
      <c r="G101" s="256"/>
      <c r="H101" s="256"/>
      <c r="I101" s="256"/>
      <c r="J101" s="256"/>
      <c r="K101" s="256"/>
    </row>
    <row r="102" spans="1:18" s="292" customFormat="1" ht="13.5" customHeight="1">
      <c r="A102" s="45" t="s">
        <v>310</v>
      </c>
      <c r="B102" s="208"/>
      <c r="C102" s="207"/>
      <c r="D102" s="208"/>
      <c r="E102" s="212"/>
      <c r="F102" s="278"/>
      <c r="G102" s="256"/>
      <c r="H102" s="256"/>
      <c r="I102" s="256"/>
      <c r="J102" s="256"/>
      <c r="K102" s="256"/>
      <c r="L102" s="295"/>
      <c r="M102" s="295"/>
      <c r="N102" s="295"/>
      <c r="O102" s="295"/>
      <c r="P102" s="295"/>
      <c r="Q102" s="295"/>
      <c r="R102" s="295"/>
    </row>
    <row r="103" spans="1:18" s="292" customFormat="1" ht="13.5" customHeight="1">
      <c r="A103" s="45" t="s">
        <v>311</v>
      </c>
      <c r="B103" s="208"/>
      <c r="C103" s="207"/>
      <c r="D103" s="208"/>
      <c r="E103" s="212"/>
      <c r="F103" s="278"/>
      <c r="G103" s="256"/>
      <c r="H103" s="256"/>
      <c r="I103" s="256"/>
      <c r="J103" s="256"/>
      <c r="K103" s="256"/>
      <c r="L103" s="295"/>
      <c r="M103" s="295"/>
      <c r="N103" s="295"/>
      <c r="O103" s="295"/>
      <c r="P103" s="295"/>
      <c r="Q103" s="295"/>
      <c r="R103" s="295"/>
    </row>
    <row r="104" spans="1:18" s="292" customFormat="1" ht="13.5" customHeight="1">
      <c r="A104" s="45" t="s">
        <v>312</v>
      </c>
      <c r="B104" s="208"/>
      <c r="C104" s="207"/>
      <c r="D104" s="208"/>
      <c r="E104" s="212"/>
      <c r="F104" s="278"/>
      <c r="G104" s="256"/>
      <c r="H104" s="256"/>
      <c r="I104" s="256"/>
      <c r="J104" s="256"/>
      <c r="K104" s="256"/>
      <c r="L104" s="295"/>
      <c r="M104" s="295"/>
      <c r="N104" s="295"/>
      <c r="O104" s="295"/>
      <c r="P104" s="295"/>
      <c r="Q104" s="295"/>
      <c r="R104" s="295"/>
    </row>
    <row r="105" spans="1:11" s="295" customFormat="1" ht="13.5" customHeight="1">
      <c r="A105" s="45" t="s">
        <v>313</v>
      </c>
      <c r="B105" s="208"/>
      <c r="C105" s="207"/>
      <c r="D105" s="208"/>
      <c r="E105" s="212"/>
      <c r="F105" s="278"/>
      <c r="G105" s="256"/>
      <c r="H105" s="256"/>
      <c r="I105" s="256"/>
      <c r="J105" s="256"/>
      <c r="K105" s="256"/>
    </row>
    <row r="106" spans="1:11" s="295" customFormat="1" ht="13.5" customHeight="1">
      <c r="A106" s="45" t="s">
        <v>314</v>
      </c>
      <c r="B106" s="208"/>
      <c r="C106" s="207"/>
      <c r="D106" s="208"/>
      <c r="E106" s="212"/>
      <c r="F106" s="278"/>
      <c r="G106" s="256"/>
      <c r="H106" s="256"/>
      <c r="I106" s="256"/>
      <c r="J106" s="256"/>
      <c r="K106" s="256"/>
    </row>
    <row r="107" spans="1:11" s="295" customFormat="1" ht="13.5" customHeight="1">
      <c r="A107" s="45" t="s">
        <v>315</v>
      </c>
      <c r="B107" s="208"/>
      <c r="C107" s="207"/>
      <c r="D107" s="208"/>
      <c r="E107" s="212"/>
      <c r="F107" s="278"/>
      <c r="G107" s="256"/>
      <c r="H107" s="256"/>
      <c r="I107" s="256"/>
      <c r="J107" s="256"/>
      <c r="K107" s="256"/>
    </row>
    <row r="108" spans="1:18" s="292" customFormat="1" ht="13.5" customHeight="1">
      <c r="A108" s="45" t="s">
        <v>316</v>
      </c>
      <c r="B108" s="208"/>
      <c r="C108" s="207"/>
      <c r="D108" s="208"/>
      <c r="E108" s="212"/>
      <c r="F108" s="278"/>
      <c r="G108" s="256"/>
      <c r="H108" s="256"/>
      <c r="I108" s="256"/>
      <c r="J108" s="256"/>
      <c r="K108" s="256"/>
      <c r="L108" s="295"/>
      <c r="M108" s="295"/>
      <c r="N108" s="295"/>
      <c r="O108" s="295"/>
      <c r="P108" s="295"/>
      <c r="Q108" s="295"/>
      <c r="R108" s="295"/>
    </row>
    <row r="109" spans="1:18" s="292" customFormat="1" ht="13.5" customHeight="1">
      <c r="A109" s="45" t="s">
        <v>317</v>
      </c>
      <c r="B109" s="208"/>
      <c r="C109" s="207"/>
      <c r="D109" s="208"/>
      <c r="E109" s="212"/>
      <c r="F109" s="278"/>
      <c r="G109" s="256"/>
      <c r="H109" s="256"/>
      <c r="I109" s="256"/>
      <c r="J109" s="256"/>
      <c r="K109" s="256"/>
      <c r="L109" s="295"/>
      <c r="M109" s="295"/>
      <c r="N109" s="295"/>
      <c r="O109" s="295"/>
      <c r="P109" s="295"/>
      <c r="Q109" s="295"/>
      <c r="R109" s="295"/>
    </row>
    <row r="110" spans="1:18" s="292" customFormat="1" ht="13.5" customHeight="1">
      <c r="A110" s="45" t="s">
        <v>318</v>
      </c>
      <c r="B110" s="208"/>
      <c r="C110" s="207"/>
      <c r="D110" s="208"/>
      <c r="E110" s="212"/>
      <c r="F110" s="278"/>
      <c r="G110" s="256"/>
      <c r="H110" s="256"/>
      <c r="I110" s="256"/>
      <c r="J110" s="256"/>
      <c r="K110" s="256"/>
      <c r="L110" s="295"/>
      <c r="M110" s="295"/>
      <c r="N110" s="295"/>
      <c r="O110" s="295"/>
      <c r="P110" s="295"/>
      <c r="Q110" s="295"/>
      <c r="R110" s="295"/>
    </row>
    <row r="111" spans="1:18" s="292" customFormat="1" ht="13.5" customHeight="1">
      <c r="A111" s="45" t="s">
        <v>319</v>
      </c>
      <c r="B111" s="208"/>
      <c r="C111" s="207"/>
      <c r="D111" s="208"/>
      <c r="E111" s="212"/>
      <c r="F111" s="278"/>
      <c r="G111" s="256"/>
      <c r="H111" s="256"/>
      <c r="I111" s="256"/>
      <c r="J111" s="256"/>
      <c r="K111" s="256"/>
      <c r="L111" s="295"/>
      <c r="M111" s="295"/>
      <c r="N111" s="295"/>
      <c r="O111" s="295"/>
      <c r="P111" s="295"/>
      <c r="Q111" s="295"/>
      <c r="R111" s="295"/>
    </row>
    <row r="112" spans="1:18" s="292" customFormat="1" ht="13.5" customHeight="1">
      <c r="A112" s="45" t="s">
        <v>320</v>
      </c>
      <c r="B112" s="208"/>
      <c r="C112" s="207"/>
      <c r="D112" s="208"/>
      <c r="E112" s="212"/>
      <c r="F112" s="278"/>
      <c r="G112" s="256"/>
      <c r="H112" s="256"/>
      <c r="I112" s="256"/>
      <c r="J112" s="256"/>
      <c r="K112" s="256"/>
      <c r="L112" s="295"/>
      <c r="M112" s="295"/>
      <c r="N112" s="295"/>
      <c r="O112" s="295"/>
      <c r="P112" s="295"/>
      <c r="Q112" s="295"/>
      <c r="R112" s="295"/>
    </row>
    <row r="113" spans="1:18" s="292" customFormat="1" ht="13.5" customHeight="1">
      <c r="A113" s="45" t="s">
        <v>321</v>
      </c>
      <c r="B113" s="208"/>
      <c r="C113" s="207"/>
      <c r="D113" s="208"/>
      <c r="E113" s="212"/>
      <c r="F113" s="278"/>
      <c r="G113" s="256"/>
      <c r="H113" s="256"/>
      <c r="I113" s="256"/>
      <c r="J113" s="256"/>
      <c r="K113" s="256"/>
      <c r="L113" s="295"/>
      <c r="M113" s="295"/>
      <c r="N113" s="295"/>
      <c r="O113" s="295"/>
      <c r="P113" s="295"/>
      <c r="Q113" s="295"/>
      <c r="R113" s="295"/>
    </row>
    <row r="114" spans="1:18" s="292" customFormat="1" ht="13.5" customHeight="1" thickBot="1">
      <c r="A114" s="49" t="s">
        <v>322</v>
      </c>
      <c r="B114" s="205"/>
      <c r="C114" s="204"/>
      <c r="D114" s="205"/>
      <c r="E114" s="230"/>
      <c r="F114" s="278"/>
      <c r="G114" s="256"/>
      <c r="H114" s="256"/>
      <c r="I114" s="256"/>
      <c r="J114" s="256"/>
      <c r="K114" s="256"/>
      <c r="L114" s="295"/>
      <c r="M114" s="295"/>
      <c r="N114" s="295"/>
      <c r="O114" s="295"/>
      <c r="P114" s="295"/>
      <c r="Q114" s="295"/>
      <c r="R114" s="295"/>
    </row>
    <row r="115" spans="1:18" s="292" customFormat="1" ht="13.5" customHeight="1">
      <c r="A115" s="52" t="s">
        <v>1365</v>
      </c>
      <c r="B115" s="13"/>
      <c r="C115" s="199"/>
      <c r="D115" s="106"/>
      <c r="E115" s="197"/>
      <c r="F115" s="278"/>
      <c r="G115" s="256"/>
      <c r="H115" s="256"/>
      <c r="I115" s="256"/>
      <c r="J115" s="256"/>
      <c r="K115" s="256"/>
      <c r="L115" s="295"/>
      <c r="M115" s="295"/>
      <c r="N115" s="295"/>
      <c r="O115" s="295"/>
      <c r="P115" s="295"/>
      <c r="Q115" s="295"/>
      <c r="R115" s="295"/>
    </row>
    <row r="116" spans="1:18" s="292" customFormat="1" ht="13.5" customHeight="1">
      <c r="A116" s="52" t="s">
        <v>299</v>
      </c>
      <c r="B116" s="13"/>
      <c r="C116" s="199"/>
      <c r="D116" s="106"/>
      <c r="E116" s="197"/>
      <c r="F116" s="278"/>
      <c r="G116" s="256"/>
      <c r="H116" s="256"/>
      <c r="I116" s="256"/>
      <c r="J116" s="256"/>
      <c r="K116" s="256"/>
      <c r="L116" s="295"/>
      <c r="M116" s="295"/>
      <c r="N116" s="295"/>
      <c r="O116" s="295"/>
      <c r="P116" s="295"/>
      <c r="Q116" s="295"/>
      <c r="R116" s="295"/>
    </row>
    <row r="117" spans="1:18" s="292" customFormat="1" ht="13.5" customHeight="1">
      <c r="A117" s="52" t="s">
        <v>1421</v>
      </c>
      <c r="B117" s="13"/>
      <c r="C117" s="199"/>
      <c r="D117" s="106"/>
      <c r="E117" s="197"/>
      <c r="F117" s="278"/>
      <c r="G117" s="256"/>
      <c r="H117" s="256"/>
      <c r="I117" s="256"/>
      <c r="J117" s="256"/>
      <c r="K117" s="256"/>
      <c r="L117" s="295"/>
      <c r="M117" s="295"/>
      <c r="N117" s="295"/>
      <c r="O117" s="295"/>
      <c r="P117" s="295"/>
      <c r="Q117" s="295"/>
      <c r="R117" s="295"/>
    </row>
    <row r="118" spans="1:18" s="292" customFormat="1" ht="13.5" customHeight="1" thickBot="1">
      <c r="A118" s="52" t="s">
        <v>11</v>
      </c>
      <c r="B118" s="13"/>
      <c r="C118" s="199"/>
      <c r="D118" s="106"/>
      <c r="E118" s="197"/>
      <c r="F118" s="278"/>
      <c r="G118" s="256"/>
      <c r="H118" s="256"/>
      <c r="I118" s="256"/>
      <c r="J118" s="256"/>
      <c r="K118" s="256"/>
      <c r="L118" s="295"/>
      <c r="M118" s="295"/>
      <c r="N118" s="295"/>
      <c r="O118" s="295"/>
      <c r="P118" s="295"/>
      <c r="Q118" s="295"/>
      <c r="R118" s="295"/>
    </row>
    <row r="119" spans="1:18" s="292" customFormat="1" ht="13.5" customHeight="1" thickBot="1">
      <c r="A119" s="296" t="s">
        <v>0</v>
      </c>
      <c r="B119" s="297"/>
      <c r="C119" s="55"/>
      <c r="D119" s="191"/>
      <c r="E119" s="161">
        <f>C121+C149+C168</f>
        <v>3965791</v>
      </c>
      <c r="F119" s="278"/>
      <c r="G119" s="256"/>
      <c r="H119" s="256"/>
      <c r="I119" s="256"/>
      <c r="J119" s="256"/>
      <c r="K119" s="256"/>
      <c r="L119" s="295"/>
      <c r="M119" s="295"/>
      <c r="N119" s="295"/>
      <c r="O119" s="295"/>
      <c r="P119" s="295"/>
      <c r="Q119" s="295"/>
      <c r="R119" s="295"/>
    </row>
    <row r="120" spans="1:18" s="292" customFormat="1" ht="13.5" customHeight="1" thickBot="1">
      <c r="A120" s="107"/>
      <c r="B120" s="107"/>
      <c r="C120" s="29"/>
      <c r="D120" s="29"/>
      <c r="E120" s="33"/>
      <c r="F120" s="278"/>
      <c r="G120" s="256"/>
      <c r="H120" s="256"/>
      <c r="I120" s="256"/>
      <c r="J120" s="256"/>
      <c r="K120" s="256"/>
      <c r="L120" s="295"/>
      <c r="M120" s="295"/>
      <c r="N120" s="295"/>
      <c r="O120" s="295"/>
      <c r="P120" s="295"/>
      <c r="Q120" s="295"/>
      <c r="R120" s="295"/>
    </row>
    <row r="121" spans="1:18" s="279" customFormat="1" ht="13.5" customHeight="1" thickBot="1">
      <c r="A121" s="947" t="s">
        <v>2</v>
      </c>
      <c r="B121" s="948"/>
      <c r="C121" s="38">
        <f>C122+C124+C128+C130+C132+C135+C139+C143</f>
        <v>2791830</v>
      </c>
      <c r="D121" s="24"/>
      <c r="E121" s="33"/>
      <c r="F121" s="290"/>
      <c r="G121" s="250"/>
      <c r="H121" s="250"/>
      <c r="I121" s="250"/>
      <c r="J121" s="250"/>
      <c r="K121" s="250"/>
      <c r="L121" s="289"/>
      <c r="M121" s="289"/>
      <c r="N121" s="289"/>
      <c r="O121" s="289"/>
      <c r="P121" s="289"/>
      <c r="Q121" s="289"/>
      <c r="R121" s="289"/>
    </row>
    <row r="122" spans="1:11" s="295" customFormat="1" ht="13.5" customHeight="1">
      <c r="A122" s="12" t="s">
        <v>113</v>
      </c>
      <c r="B122" s="286" t="s">
        <v>114</v>
      </c>
      <c r="C122" s="33">
        <f>SUM(C123)</f>
        <v>173500</v>
      </c>
      <c r="D122" s="298"/>
      <c r="E122" s="299"/>
      <c r="F122" s="278"/>
      <c r="G122" s="256"/>
      <c r="H122" s="256"/>
      <c r="I122" s="256"/>
      <c r="J122" s="256"/>
      <c r="K122" s="256"/>
    </row>
    <row r="123" spans="1:18" s="292" customFormat="1" ht="13.5" customHeight="1" hidden="1">
      <c r="A123" s="13" t="s">
        <v>50</v>
      </c>
      <c r="B123" s="9" t="s">
        <v>49</v>
      </c>
      <c r="C123" s="821">
        <f>193500-20000</f>
        <v>173500</v>
      </c>
      <c r="D123" s="29"/>
      <c r="E123" s="29"/>
      <c r="F123" s="278"/>
      <c r="G123" s="256"/>
      <c r="H123" s="256"/>
      <c r="I123" s="256"/>
      <c r="J123" s="256"/>
      <c r="K123" s="256"/>
      <c r="L123" s="295"/>
      <c r="M123" s="295"/>
      <c r="N123" s="295"/>
      <c r="O123" s="295"/>
      <c r="P123" s="295"/>
      <c r="Q123" s="295"/>
      <c r="R123" s="295"/>
    </row>
    <row r="124" spans="1:11" s="289" customFormat="1" ht="13.5" customHeight="1">
      <c r="A124" s="353" t="s">
        <v>223</v>
      </c>
      <c r="B124" s="404" t="s">
        <v>272</v>
      </c>
      <c r="C124" s="33">
        <f>SUM(C125:C127)</f>
        <v>1777050</v>
      </c>
      <c r="D124" s="25"/>
      <c r="E124" s="25"/>
      <c r="F124" s="290"/>
      <c r="G124" s="250"/>
      <c r="H124" s="250"/>
      <c r="I124" s="250"/>
      <c r="J124" s="250"/>
      <c r="K124" s="250"/>
    </row>
    <row r="125" spans="1:18" s="279" customFormat="1" ht="13.5" hidden="1">
      <c r="A125" s="107" t="s">
        <v>221</v>
      </c>
      <c r="B125" s="57" t="s">
        <v>220</v>
      </c>
      <c r="C125" s="821">
        <f>2050000-300000</f>
        <v>1750000</v>
      </c>
      <c r="E125" s="107"/>
      <c r="F125" s="290"/>
      <c r="G125" s="25"/>
      <c r="H125" s="250"/>
      <c r="I125" s="250"/>
      <c r="J125" s="250"/>
      <c r="K125" s="250"/>
      <c r="L125" s="289"/>
      <c r="M125" s="289"/>
      <c r="N125" s="289"/>
      <c r="O125" s="289"/>
      <c r="P125" s="289"/>
      <c r="Q125" s="289"/>
      <c r="R125" s="289"/>
    </row>
    <row r="126" spans="1:18" s="292" customFormat="1" ht="13.5" customHeight="1" hidden="1">
      <c r="A126" s="13" t="s">
        <v>271</v>
      </c>
      <c r="B126" s="9" t="s">
        <v>270</v>
      </c>
      <c r="C126" s="821">
        <v>14700</v>
      </c>
      <c r="D126" s="29"/>
      <c r="E126" s="29"/>
      <c r="F126" s="278"/>
      <c r="G126" s="256"/>
      <c r="H126" s="256"/>
      <c r="I126" s="256"/>
      <c r="J126" s="256"/>
      <c r="K126" s="256"/>
      <c r="L126" s="295"/>
      <c r="M126" s="295"/>
      <c r="N126" s="295"/>
      <c r="O126" s="295"/>
      <c r="P126" s="295"/>
      <c r="Q126" s="295"/>
      <c r="R126" s="295"/>
    </row>
    <row r="127" spans="1:18" s="292" customFormat="1" ht="13.5" customHeight="1" hidden="1">
      <c r="A127" s="13" t="s">
        <v>255</v>
      </c>
      <c r="B127" s="57" t="s">
        <v>254</v>
      </c>
      <c r="C127" s="821">
        <v>12350</v>
      </c>
      <c r="D127" s="29"/>
      <c r="E127" s="29"/>
      <c r="F127" s="278"/>
      <c r="G127" s="256"/>
      <c r="H127" s="256"/>
      <c r="I127" s="256"/>
      <c r="J127" s="256"/>
      <c r="K127" s="256"/>
      <c r="L127" s="295"/>
      <c r="M127" s="295"/>
      <c r="N127" s="295"/>
      <c r="O127" s="295"/>
      <c r="P127" s="295"/>
      <c r="Q127" s="295"/>
      <c r="R127" s="295"/>
    </row>
    <row r="128" spans="1:18" s="279" customFormat="1" ht="13.5">
      <c r="A128" s="12" t="s">
        <v>115</v>
      </c>
      <c r="B128" s="791" t="s">
        <v>116</v>
      </c>
      <c r="C128" s="33">
        <f>SUM(C129)</f>
        <v>12700</v>
      </c>
      <c r="D128" s="298"/>
      <c r="F128" s="290"/>
      <c r="G128" s="250"/>
      <c r="H128" s="250"/>
      <c r="I128" s="250"/>
      <c r="J128" s="250"/>
      <c r="K128" s="250"/>
      <c r="L128" s="289"/>
      <c r="M128" s="289"/>
      <c r="N128" s="289"/>
      <c r="O128" s="289"/>
      <c r="P128" s="289"/>
      <c r="Q128" s="289"/>
      <c r="R128" s="289"/>
    </row>
    <row r="129" spans="1:7" s="57" customFormat="1" ht="13.5" customHeight="1" hidden="1">
      <c r="A129" s="13" t="s">
        <v>96</v>
      </c>
      <c r="B129" s="9" t="s">
        <v>71</v>
      </c>
      <c r="C129" s="821">
        <v>12700</v>
      </c>
      <c r="D129" s="23"/>
      <c r="E129" s="33"/>
      <c r="F129" s="70"/>
      <c r="G129" s="71"/>
    </row>
    <row r="130" spans="1:7" s="57" customFormat="1" ht="13.5" customHeight="1">
      <c r="A130" s="12" t="s">
        <v>117</v>
      </c>
      <c r="B130" s="791" t="s">
        <v>118</v>
      </c>
      <c r="C130" s="33">
        <f>SUM(C131)</f>
        <v>52060</v>
      </c>
      <c r="D130" s="23"/>
      <c r="E130" s="33"/>
      <c r="F130" s="70"/>
      <c r="G130" s="71"/>
    </row>
    <row r="131" spans="1:18" s="9" customFormat="1" ht="13.5" hidden="1">
      <c r="A131" s="13" t="s">
        <v>51</v>
      </c>
      <c r="B131" s="24" t="s">
        <v>52</v>
      </c>
      <c r="C131" s="821">
        <v>52060</v>
      </c>
      <c r="D131" s="159"/>
      <c r="E131" s="126"/>
      <c r="F131" s="135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s="292" customFormat="1" ht="13.5" customHeight="1">
      <c r="A132" s="12" t="s">
        <v>219</v>
      </c>
      <c r="B132" s="26" t="s">
        <v>218</v>
      </c>
      <c r="C132" s="33">
        <f>SUM(C133:C134)</f>
        <v>403420</v>
      </c>
      <c r="D132" s="29"/>
      <c r="E132" s="29"/>
      <c r="F132" s="278"/>
      <c r="G132" s="256"/>
      <c r="H132" s="256"/>
      <c r="I132" s="256"/>
      <c r="J132" s="256"/>
      <c r="K132" s="256"/>
      <c r="L132" s="295"/>
      <c r="M132" s="295"/>
      <c r="N132" s="295"/>
      <c r="O132" s="295"/>
      <c r="P132" s="295"/>
      <c r="Q132" s="295"/>
      <c r="R132" s="295"/>
    </row>
    <row r="133" spans="1:18" s="292" customFormat="1" ht="13.5" customHeight="1" hidden="1">
      <c r="A133" s="13" t="s">
        <v>217</v>
      </c>
      <c r="B133" s="9" t="s">
        <v>252</v>
      </c>
      <c r="C133" s="821">
        <f>583500/1.25*1.15-100000-40000</f>
        <v>396820</v>
      </c>
      <c r="E133" s="29"/>
      <c r="F133" s="278"/>
      <c r="G133" s="299"/>
      <c r="H133" s="256"/>
      <c r="I133" s="256"/>
      <c r="J133" s="256"/>
      <c r="K133" s="256"/>
      <c r="L133" s="295"/>
      <c r="M133" s="295"/>
      <c r="N133" s="295"/>
      <c r="O133" s="295"/>
      <c r="P133" s="295"/>
      <c r="Q133" s="295"/>
      <c r="R133" s="295"/>
    </row>
    <row r="134" spans="1:18" s="292" customFormat="1" ht="13.5" customHeight="1" hidden="1">
      <c r="A134" s="13" t="s">
        <v>251</v>
      </c>
      <c r="B134" s="9" t="s">
        <v>250</v>
      </c>
      <c r="C134" s="821">
        <v>6600</v>
      </c>
      <c r="E134" s="29"/>
      <c r="F134" s="278"/>
      <c r="G134" s="299"/>
      <c r="H134" s="256"/>
      <c r="I134" s="256"/>
      <c r="J134" s="256"/>
      <c r="K134" s="256"/>
      <c r="L134" s="295"/>
      <c r="M134" s="295"/>
      <c r="N134" s="295"/>
      <c r="O134" s="295"/>
      <c r="P134" s="295"/>
      <c r="Q134" s="295"/>
      <c r="R134" s="295"/>
    </row>
    <row r="135" spans="1:18" s="292" customFormat="1" ht="13.5" customHeight="1">
      <c r="A135" s="12" t="s">
        <v>129</v>
      </c>
      <c r="B135" s="791" t="s">
        <v>119</v>
      </c>
      <c r="C135" s="33">
        <f>SUM(C136:C138)</f>
        <v>110300</v>
      </c>
      <c r="E135" s="29"/>
      <c r="F135" s="278"/>
      <c r="G135" s="299"/>
      <c r="H135" s="256"/>
      <c r="I135" s="256"/>
      <c r="J135" s="256"/>
      <c r="K135" s="256"/>
      <c r="L135" s="295"/>
      <c r="M135" s="295"/>
      <c r="N135" s="295"/>
      <c r="O135" s="295"/>
      <c r="P135" s="295"/>
      <c r="Q135" s="295"/>
      <c r="R135" s="295"/>
    </row>
    <row r="136" spans="1:18" s="292" customFormat="1" ht="13.5" customHeight="1" hidden="1">
      <c r="A136" s="13" t="s">
        <v>214</v>
      </c>
      <c r="B136" s="57" t="s">
        <v>213</v>
      </c>
      <c r="C136" s="821">
        <f>68900-40000</f>
        <v>28900</v>
      </c>
      <c r="E136" s="29"/>
      <c r="F136" s="278"/>
      <c r="G136" s="299"/>
      <c r="H136" s="256"/>
      <c r="I136" s="256"/>
      <c r="J136" s="256"/>
      <c r="K136" s="256"/>
      <c r="L136" s="295"/>
      <c r="M136" s="295"/>
      <c r="N136" s="295"/>
      <c r="O136" s="295"/>
      <c r="P136" s="295"/>
      <c r="Q136" s="295"/>
      <c r="R136" s="295"/>
    </row>
    <row r="137" spans="1:18" s="292" customFormat="1" ht="13.5" customHeight="1" hidden="1">
      <c r="A137" s="13" t="s">
        <v>212</v>
      </c>
      <c r="B137" s="57" t="s">
        <v>211</v>
      </c>
      <c r="C137" s="821">
        <f>128900-44000-8000</f>
        <v>76900</v>
      </c>
      <c r="E137" s="29"/>
      <c r="F137" s="278"/>
      <c r="G137" s="299"/>
      <c r="H137" s="256"/>
      <c r="I137" s="256"/>
      <c r="J137" s="256"/>
      <c r="K137" s="256"/>
      <c r="L137" s="295"/>
      <c r="M137" s="295"/>
      <c r="N137" s="295"/>
      <c r="O137" s="295"/>
      <c r="P137" s="295"/>
      <c r="Q137" s="295"/>
      <c r="R137" s="295"/>
    </row>
    <row r="138" spans="1:18" s="292" customFormat="1" ht="13.5" customHeight="1" hidden="1">
      <c r="A138" s="13" t="s">
        <v>210</v>
      </c>
      <c r="B138" s="57" t="s">
        <v>209</v>
      </c>
      <c r="C138" s="821">
        <v>4500</v>
      </c>
      <c r="E138" s="29"/>
      <c r="F138" s="278"/>
      <c r="G138" s="299"/>
      <c r="H138" s="256"/>
      <c r="I138" s="256"/>
      <c r="J138" s="256"/>
      <c r="K138" s="256"/>
      <c r="L138" s="295"/>
      <c r="M138" s="295"/>
      <c r="N138" s="295"/>
      <c r="O138" s="295"/>
      <c r="P138" s="295"/>
      <c r="Q138" s="295"/>
      <c r="R138" s="295"/>
    </row>
    <row r="139" spans="1:18" s="292" customFormat="1" ht="13.5" customHeight="1">
      <c r="A139" s="353" t="s">
        <v>134</v>
      </c>
      <c r="B139" s="812" t="s">
        <v>133</v>
      </c>
      <c r="C139" s="26">
        <f>SUM(C140:C142)</f>
        <v>54150</v>
      </c>
      <c r="E139" s="29"/>
      <c r="F139" s="278"/>
      <c r="G139" s="930"/>
      <c r="H139" s="256"/>
      <c r="I139" s="256"/>
      <c r="J139" s="256"/>
      <c r="K139" s="256"/>
      <c r="L139" s="295"/>
      <c r="M139" s="295"/>
      <c r="N139" s="295"/>
      <c r="O139" s="295"/>
      <c r="P139" s="295"/>
      <c r="Q139" s="295"/>
      <c r="R139" s="295"/>
    </row>
    <row r="140" spans="1:18" s="292" customFormat="1" ht="13.5" customHeight="1" hidden="1">
      <c r="A140" s="107" t="s">
        <v>277</v>
      </c>
      <c r="B140" s="24" t="s">
        <v>276</v>
      </c>
      <c r="C140" s="821">
        <v>12500</v>
      </c>
      <c r="E140" s="29"/>
      <c r="F140" s="278"/>
      <c r="G140" s="930"/>
      <c r="H140" s="256"/>
      <c r="I140" s="256"/>
      <c r="J140" s="256"/>
      <c r="K140" s="256"/>
      <c r="L140" s="295"/>
      <c r="M140" s="295"/>
      <c r="N140" s="295"/>
      <c r="O140" s="295"/>
      <c r="P140" s="295"/>
      <c r="Q140" s="295"/>
      <c r="R140" s="295"/>
    </row>
    <row r="141" spans="1:18" s="292" customFormat="1" ht="13.5" customHeight="1" hidden="1">
      <c r="A141" s="107" t="s">
        <v>323</v>
      </c>
      <c r="B141" s="57" t="s">
        <v>324</v>
      </c>
      <c r="C141" s="821">
        <v>15000</v>
      </c>
      <c r="E141" s="29"/>
      <c r="F141" s="278"/>
      <c r="G141" s="299"/>
      <c r="H141" s="256"/>
      <c r="I141" s="256"/>
      <c r="J141" s="256"/>
      <c r="K141" s="256"/>
      <c r="L141" s="295"/>
      <c r="M141" s="295"/>
      <c r="N141" s="295"/>
      <c r="O141" s="295"/>
      <c r="P141" s="295"/>
      <c r="Q141" s="295"/>
      <c r="R141" s="295"/>
    </row>
    <row r="142" spans="1:18" s="292" customFormat="1" ht="13.5" customHeight="1" hidden="1">
      <c r="A142" s="107" t="s">
        <v>103</v>
      </c>
      <c r="B142" s="24" t="s">
        <v>78</v>
      </c>
      <c r="C142" s="821">
        <v>26650</v>
      </c>
      <c r="E142" s="29"/>
      <c r="F142" s="278"/>
      <c r="G142" s="299"/>
      <c r="H142" s="256"/>
      <c r="I142" s="256"/>
      <c r="J142" s="256"/>
      <c r="K142" s="256"/>
      <c r="L142" s="295"/>
      <c r="M142" s="295"/>
      <c r="N142" s="295"/>
      <c r="O142" s="295"/>
      <c r="P142" s="295"/>
      <c r="Q142" s="295"/>
      <c r="R142" s="295"/>
    </row>
    <row r="143" spans="1:18" s="279" customFormat="1" ht="13.5" customHeight="1">
      <c r="A143" s="353" t="s">
        <v>169</v>
      </c>
      <c r="B143" s="26" t="s">
        <v>144</v>
      </c>
      <c r="C143" s="26">
        <f>SUM(C144:C147)</f>
        <v>208650</v>
      </c>
      <c r="E143" s="33"/>
      <c r="F143" s="290"/>
      <c r="G143" s="25"/>
      <c r="H143" s="250"/>
      <c r="I143" s="250"/>
      <c r="J143" s="250"/>
      <c r="K143" s="250"/>
      <c r="L143" s="289"/>
      <c r="M143" s="289"/>
      <c r="N143" s="289"/>
      <c r="O143" s="289"/>
      <c r="P143" s="289"/>
      <c r="Q143" s="289"/>
      <c r="R143" s="289"/>
    </row>
    <row r="144" spans="1:18" s="279" customFormat="1" ht="13.5" customHeight="1" hidden="1">
      <c r="A144" s="107" t="s">
        <v>170</v>
      </c>
      <c r="B144" s="24" t="s">
        <v>70</v>
      </c>
      <c r="C144" s="821">
        <v>156350</v>
      </c>
      <c r="E144" s="33"/>
      <c r="F144" s="290"/>
      <c r="G144" s="299"/>
      <c r="H144" s="250"/>
      <c r="I144" s="250"/>
      <c r="J144" s="250"/>
      <c r="K144" s="250"/>
      <c r="L144" s="289"/>
      <c r="M144" s="289"/>
      <c r="N144" s="289"/>
      <c r="O144" s="289"/>
      <c r="P144" s="289"/>
      <c r="Q144" s="289"/>
      <c r="R144" s="289"/>
    </row>
    <row r="145" spans="1:18" s="279" customFormat="1" ht="13.5" customHeight="1" hidden="1">
      <c r="A145" s="107" t="s">
        <v>325</v>
      </c>
      <c r="B145" s="24" t="s">
        <v>326</v>
      </c>
      <c r="C145" s="821">
        <v>25250</v>
      </c>
      <c r="E145" s="33"/>
      <c r="F145" s="290"/>
      <c r="G145" s="25"/>
      <c r="H145" s="250"/>
      <c r="I145" s="250"/>
      <c r="J145" s="250"/>
      <c r="K145" s="250"/>
      <c r="L145" s="289"/>
      <c r="M145" s="289"/>
      <c r="N145" s="289"/>
      <c r="O145" s="289"/>
      <c r="P145" s="289"/>
      <c r="Q145" s="289"/>
      <c r="R145" s="289"/>
    </row>
    <row r="146" spans="1:18" s="279" customFormat="1" ht="13.5" customHeight="1" hidden="1">
      <c r="A146" s="107" t="s">
        <v>247</v>
      </c>
      <c r="B146" s="24" t="s">
        <v>246</v>
      </c>
      <c r="C146" s="821">
        <v>12650</v>
      </c>
      <c r="D146" s="24"/>
      <c r="E146" s="33"/>
      <c r="F146" s="290"/>
      <c r="G146" s="250"/>
      <c r="H146" s="250"/>
      <c r="I146" s="250"/>
      <c r="J146" s="250"/>
      <c r="K146" s="250"/>
      <c r="L146" s="289"/>
      <c r="M146" s="289"/>
      <c r="N146" s="289"/>
      <c r="O146" s="289"/>
      <c r="P146" s="289"/>
      <c r="Q146" s="289"/>
      <c r="R146" s="289"/>
    </row>
    <row r="147" spans="1:18" s="9" customFormat="1" ht="13.5" hidden="1">
      <c r="A147" s="107" t="s">
        <v>173</v>
      </c>
      <c r="B147" s="24" t="s">
        <v>144</v>
      </c>
      <c r="C147" s="821">
        <v>14400</v>
      </c>
      <c r="D147" s="159"/>
      <c r="E147" s="126"/>
      <c r="F147" s="135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s="9" customFormat="1" ht="13.5" customHeight="1" thickBot="1">
      <c r="A148" s="107"/>
      <c r="B148" s="24"/>
      <c r="C148" s="24"/>
      <c r="D148" s="159"/>
      <c r="E148" s="126"/>
      <c r="F148" s="135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s="279" customFormat="1" ht="13.5" customHeight="1" thickBot="1">
      <c r="A149" s="949" t="s">
        <v>3</v>
      </c>
      <c r="B149" s="950"/>
      <c r="C149" s="36">
        <f>C150+C152+C157+C160+C163</f>
        <v>983560</v>
      </c>
      <c r="D149" s="24"/>
      <c r="E149" s="33"/>
      <c r="F149" s="290"/>
      <c r="G149" s="250"/>
      <c r="H149" s="250"/>
      <c r="I149" s="250"/>
      <c r="J149" s="250"/>
      <c r="K149" s="250"/>
      <c r="L149" s="289"/>
      <c r="M149" s="289"/>
      <c r="N149" s="289"/>
      <c r="O149" s="289"/>
      <c r="P149" s="289"/>
      <c r="Q149" s="289"/>
      <c r="R149" s="289"/>
    </row>
    <row r="150" spans="1:11" s="289" customFormat="1" ht="13.5" customHeight="1">
      <c r="A150" s="813" t="s">
        <v>120</v>
      </c>
      <c r="B150" s="404" t="s">
        <v>121</v>
      </c>
      <c r="C150" s="33">
        <f>SUM(C151)</f>
        <v>71650</v>
      </c>
      <c r="E150" s="25"/>
      <c r="F150" s="290"/>
      <c r="G150" s="25"/>
      <c r="H150" s="250"/>
      <c r="I150" s="250"/>
      <c r="J150" s="250"/>
      <c r="K150" s="250"/>
    </row>
    <row r="151" spans="1:18" s="279" customFormat="1" ht="13.5" customHeight="1" hidden="1">
      <c r="A151" s="105" t="s">
        <v>57</v>
      </c>
      <c r="B151" s="106" t="s">
        <v>18</v>
      </c>
      <c r="C151" s="821">
        <f>81650-10000</f>
        <v>71650</v>
      </c>
      <c r="E151" s="24"/>
      <c r="F151" s="290"/>
      <c r="G151" s="33"/>
      <c r="H151" s="250"/>
      <c r="I151" s="250"/>
      <c r="J151" s="250"/>
      <c r="K151" s="250"/>
      <c r="L151" s="289"/>
      <c r="M151" s="289"/>
      <c r="N151" s="289"/>
      <c r="O151" s="289"/>
      <c r="P151" s="289"/>
      <c r="Q151" s="289"/>
      <c r="R151" s="289"/>
    </row>
    <row r="152" spans="1:18" s="279" customFormat="1" ht="13.5" customHeight="1">
      <c r="A152" s="813" t="s">
        <v>130</v>
      </c>
      <c r="B152" s="814" t="s">
        <v>131</v>
      </c>
      <c r="C152" s="33">
        <f>SUM(C153:C156)</f>
        <v>176750</v>
      </c>
      <c r="E152" s="24"/>
      <c r="F152" s="290"/>
      <c r="G152" s="33"/>
      <c r="H152" s="250"/>
      <c r="I152" s="250"/>
      <c r="J152" s="250"/>
      <c r="K152" s="250"/>
      <c r="L152" s="289"/>
      <c r="M152" s="289"/>
      <c r="N152" s="289"/>
      <c r="O152" s="289"/>
      <c r="P152" s="289"/>
      <c r="Q152" s="289"/>
      <c r="R152" s="289"/>
    </row>
    <row r="153" spans="1:18" s="279" customFormat="1" ht="13.5" customHeight="1" hidden="1">
      <c r="A153" s="105" t="s">
        <v>327</v>
      </c>
      <c r="B153" s="106" t="s">
        <v>328</v>
      </c>
      <c r="C153" s="821">
        <v>6750</v>
      </c>
      <c r="E153" s="24"/>
      <c r="F153" s="290"/>
      <c r="G153" s="33"/>
      <c r="H153" s="250"/>
      <c r="I153" s="250"/>
      <c r="J153" s="250"/>
      <c r="K153" s="250"/>
      <c r="L153" s="289"/>
      <c r="M153" s="289"/>
      <c r="N153" s="289"/>
      <c r="O153" s="289"/>
      <c r="P153" s="289"/>
      <c r="Q153" s="289"/>
      <c r="R153" s="289"/>
    </row>
    <row r="154" spans="1:18" s="279" customFormat="1" ht="13.5" customHeight="1" hidden="1">
      <c r="A154" s="105" t="s">
        <v>207</v>
      </c>
      <c r="B154" s="106" t="s">
        <v>329</v>
      </c>
      <c r="C154" s="821">
        <v>110000</v>
      </c>
      <c r="E154" s="24"/>
      <c r="F154" s="290"/>
      <c r="G154" s="33"/>
      <c r="H154" s="250"/>
      <c r="I154" s="250"/>
      <c r="J154" s="250"/>
      <c r="K154" s="250"/>
      <c r="L154" s="289"/>
      <c r="M154" s="289"/>
      <c r="N154" s="289"/>
      <c r="O154" s="289"/>
      <c r="P154" s="289"/>
      <c r="Q154" s="289"/>
      <c r="R154" s="289"/>
    </row>
    <row r="155" spans="1:18" s="279" customFormat="1" ht="13.5" customHeight="1" hidden="1">
      <c r="A155" s="13" t="s">
        <v>245</v>
      </c>
      <c r="B155" s="13" t="s">
        <v>244</v>
      </c>
      <c r="C155" s="821">
        <v>13000</v>
      </c>
      <c r="E155" s="24"/>
      <c r="F155" s="290"/>
      <c r="G155" s="33"/>
      <c r="H155" s="250"/>
      <c r="I155" s="250"/>
      <c r="J155" s="250"/>
      <c r="K155" s="250"/>
      <c r="L155" s="289"/>
      <c r="M155" s="289"/>
      <c r="N155" s="289"/>
      <c r="O155" s="289"/>
      <c r="P155" s="289"/>
      <c r="Q155" s="289"/>
      <c r="R155" s="289"/>
    </row>
    <row r="156" spans="1:18" s="279" customFormat="1" ht="13.5" customHeight="1" hidden="1">
      <c r="A156" s="105" t="s">
        <v>148</v>
      </c>
      <c r="B156" s="57" t="s">
        <v>243</v>
      </c>
      <c r="C156" s="821">
        <v>47000</v>
      </c>
      <c r="E156" s="24"/>
      <c r="F156" s="290"/>
      <c r="G156" s="33"/>
      <c r="H156" s="250"/>
      <c r="I156" s="250"/>
      <c r="J156" s="250"/>
      <c r="K156" s="250"/>
      <c r="L156" s="289"/>
      <c r="M156" s="289"/>
      <c r="N156" s="289"/>
      <c r="O156" s="289"/>
      <c r="P156" s="289"/>
      <c r="Q156" s="289"/>
      <c r="R156" s="289"/>
    </row>
    <row r="157" spans="1:18" s="279" customFormat="1" ht="13.5" customHeight="1">
      <c r="A157" s="813" t="s">
        <v>122</v>
      </c>
      <c r="B157" s="812" t="s">
        <v>175</v>
      </c>
      <c r="C157" s="33">
        <f>SUM(C158:C159)</f>
        <v>372000</v>
      </c>
      <c r="E157" s="24"/>
      <c r="F157" s="290"/>
      <c r="G157" s="33"/>
      <c r="H157" s="250"/>
      <c r="I157" s="250"/>
      <c r="J157" s="250"/>
      <c r="K157" s="250"/>
      <c r="L157" s="289"/>
      <c r="M157" s="289"/>
      <c r="N157" s="289"/>
      <c r="O157" s="289"/>
      <c r="P157" s="289"/>
      <c r="Q157" s="289"/>
      <c r="R157" s="289"/>
    </row>
    <row r="158" spans="1:18" s="279" customFormat="1" ht="13.5" customHeight="1" hidden="1">
      <c r="A158" s="105" t="s">
        <v>150</v>
      </c>
      <c r="B158" s="107" t="s">
        <v>149</v>
      </c>
      <c r="C158" s="821">
        <v>7000</v>
      </c>
      <c r="E158" s="71"/>
      <c r="F158" s="290"/>
      <c r="G158" s="71"/>
      <c r="H158" s="250"/>
      <c r="I158" s="250"/>
      <c r="J158" s="250"/>
      <c r="K158" s="250"/>
      <c r="L158" s="289"/>
      <c r="M158" s="289"/>
      <c r="N158" s="289"/>
      <c r="O158" s="289"/>
      <c r="P158" s="289"/>
      <c r="Q158" s="289"/>
      <c r="R158" s="289"/>
    </row>
    <row r="159" spans="1:18" s="279" customFormat="1" ht="13.5" customHeight="1" hidden="1">
      <c r="A159" s="105" t="s">
        <v>174</v>
      </c>
      <c r="B159" s="105" t="s">
        <v>97</v>
      </c>
      <c r="C159" s="821">
        <f>515000-150000</f>
        <v>365000</v>
      </c>
      <c r="F159" s="290"/>
      <c r="G159" s="71"/>
      <c r="H159" s="250"/>
      <c r="I159" s="250"/>
      <c r="J159" s="250"/>
      <c r="K159" s="250"/>
      <c r="L159" s="289"/>
      <c r="M159" s="289"/>
      <c r="N159" s="289"/>
      <c r="O159" s="289"/>
      <c r="P159" s="289"/>
      <c r="Q159" s="289"/>
      <c r="R159" s="289"/>
    </row>
    <row r="160" spans="1:18" s="279" customFormat="1" ht="13.5" customHeight="1">
      <c r="A160" s="813" t="s">
        <v>123</v>
      </c>
      <c r="B160" s="813" t="s">
        <v>124</v>
      </c>
      <c r="C160" s="26">
        <f>SUM(C161:C162)</f>
        <v>30100</v>
      </c>
      <c r="E160" s="123"/>
      <c r="F160" s="290"/>
      <c r="G160" s="25"/>
      <c r="H160" s="250"/>
      <c r="I160" s="250"/>
      <c r="J160" s="250"/>
      <c r="K160" s="250"/>
      <c r="L160" s="289"/>
      <c r="M160" s="289"/>
      <c r="N160" s="289"/>
      <c r="O160" s="289"/>
      <c r="P160" s="289"/>
      <c r="Q160" s="289"/>
      <c r="R160" s="289"/>
    </row>
    <row r="161" spans="1:18" s="5" customFormat="1" ht="13.5" hidden="1">
      <c r="A161" s="107" t="s">
        <v>184</v>
      </c>
      <c r="B161" s="13" t="s">
        <v>83</v>
      </c>
      <c r="C161" s="821">
        <v>21600</v>
      </c>
      <c r="E161" s="15"/>
      <c r="F161" s="15"/>
      <c r="G161" s="25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</row>
    <row r="162" spans="1:18" s="279" customFormat="1" ht="13.5" customHeight="1" hidden="1">
      <c r="A162" s="105" t="s">
        <v>98</v>
      </c>
      <c r="B162" s="86" t="s">
        <v>69</v>
      </c>
      <c r="C162" s="821">
        <v>8500</v>
      </c>
      <c r="E162" s="24"/>
      <c r="F162" s="290"/>
      <c r="G162" s="25"/>
      <c r="H162" s="250"/>
      <c r="I162" s="250"/>
      <c r="J162" s="250"/>
      <c r="K162" s="250"/>
      <c r="L162" s="289"/>
      <c r="M162" s="289"/>
      <c r="N162" s="289"/>
      <c r="O162" s="289"/>
      <c r="P162" s="289"/>
      <c r="Q162" s="289"/>
      <c r="R162" s="289"/>
    </row>
    <row r="163" spans="1:18" s="279" customFormat="1" ht="13.5" customHeight="1">
      <c r="A163" s="813" t="s">
        <v>125</v>
      </c>
      <c r="B163" s="390" t="s">
        <v>8</v>
      </c>
      <c r="C163" s="26">
        <f>SUM(C164:C166)</f>
        <v>333060</v>
      </c>
      <c r="E163" s="24"/>
      <c r="F163" s="290"/>
      <c r="G163" s="25"/>
      <c r="H163" s="250"/>
      <c r="I163" s="250"/>
      <c r="J163" s="250"/>
      <c r="K163" s="250"/>
      <c r="L163" s="289"/>
      <c r="M163" s="289"/>
      <c r="N163" s="289"/>
      <c r="O163" s="289"/>
      <c r="P163" s="289"/>
      <c r="Q163" s="289"/>
      <c r="R163" s="289"/>
    </row>
    <row r="164" spans="1:18" s="279" customFormat="1" ht="13.5" customHeight="1" hidden="1">
      <c r="A164" s="105" t="s">
        <v>99</v>
      </c>
      <c r="B164" s="184" t="s">
        <v>8</v>
      </c>
      <c r="C164" s="821">
        <f>425000-115000</f>
        <v>310000</v>
      </c>
      <c r="E164" s="24"/>
      <c r="F164" s="290"/>
      <c r="G164" s="25"/>
      <c r="H164" s="250"/>
      <c r="I164" s="250"/>
      <c r="J164" s="250"/>
      <c r="K164" s="250"/>
      <c r="L164" s="289"/>
      <c r="M164" s="289"/>
      <c r="N164" s="289"/>
      <c r="O164" s="289"/>
      <c r="P164" s="289"/>
      <c r="Q164" s="289"/>
      <c r="R164" s="289"/>
    </row>
    <row r="165" spans="1:18" s="279" customFormat="1" ht="13.5" customHeight="1" hidden="1">
      <c r="A165" s="105" t="s">
        <v>205</v>
      </c>
      <c r="B165" s="105" t="s">
        <v>54</v>
      </c>
      <c r="C165" s="821">
        <v>6500</v>
      </c>
      <c r="E165" s="24"/>
      <c r="F165" s="290"/>
      <c r="G165" s="25"/>
      <c r="H165" s="250"/>
      <c r="I165" s="250"/>
      <c r="J165" s="250"/>
      <c r="K165" s="250"/>
      <c r="L165" s="289"/>
      <c r="M165" s="289"/>
      <c r="N165" s="289"/>
      <c r="O165" s="289"/>
      <c r="P165" s="289"/>
      <c r="Q165" s="289"/>
      <c r="R165" s="289"/>
    </row>
    <row r="166" spans="1:18" s="279" customFormat="1" ht="13.5" customHeight="1" hidden="1">
      <c r="A166" s="105" t="s">
        <v>100</v>
      </c>
      <c r="B166" s="106" t="s">
        <v>7</v>
      </c>
      <c r="C166" s="821">
        <v>16560</v>
      </c>
      <c r="E166" s="24"/>
      <c r="F166" s="290"/>
      <c r="G166" s="33"/>
      <c r="H166" s="250"/>
      <c r="I166" s="250"/>
      <c r="J166" s="250"/>
      <c r="K166" s="250"/>
      <c r="L166" s="289"/>
      <c r="M166" s="289"/>
      <c r="N166" s="289"/>
      <c r="O166" s="289"/>
      <c r="P166" s="289"/>
      <c r="Q166" s="289"/>
      <c r="R166" s="289"/>
    </row>
    <row r="167" spans="1:18" s="279" customFormat="1" ht="13.5" customHeight="1" thickBot="1">
      <c r="A167" s="105"/>
      <c r="B167" s="106"/>
      <c r="C167" s="25"/>
      <c r="E167" s="24"/>
      <c r="F167" s="290"/>
      <c r="G167" s="33"/>
      <c r="H167" s="250"/>
      <c r="I167" s="250"/>
      <c r="J167" s="250"/>
      <c r="K167" s="250"/>
      <c r="L167" s="289"/>
      <c r="M167" s="289"/>
      <c r="N167" s="289"/>
      <c r="O167" s="289"/>
      <c r="P167" s="289"/>
      <c r="Q167" s="289"/>
      <c r="R167" s="289"/>
    </row>
    <row r="168" spans="1:18" s="279" customFormat="1" ht="13.5" customHeight="1" thickBot="1">
      <c r="A168" s="965" t="s">
        <v>4</v>
      </c>
      <c r="B168" s="966"/>
      <c r="C168" s="32">
        <f>C169+C172+C174+C177</f>
        <v>190401</v>
      </c>
      <c r="E168" s="24"/>
      <c r="F168" s="290"/>
      <c r="G168" s="25"/>
      <c r="H168" s="250"/>
      <c r="I168" s="250"/>
      <c r="J168" s="250"/>
      <c r="K168" s="250"/>
      <c r="L168" s="289"/>
      <c r="M168" s="289"/>
      <c r="N168" s="289"/>
      <c r="O168" s="289"/>
      <c r="P168" s="289"/>
      <c r="Q168" s="289"/>
      <c r="R168" s="289"/>
    </row>
    <row r="169" spans="1:11" s="295" customFormat="1" ht="13.5" customHeight="1">
      <c r="A169" s="390" t="s">
        <v>201</v>
      </c>
      <c r="B169" s="815" t="s">
        <v>200</v>
      </c>
      <c r="C169" s="33">
        <f>SUM(C170:C171)</f>
        <v>55700</v>
      </c>
      <c r="E169" s="278"/>
      <c r="G169" s="299"/>
      <c r="H169" s="256"/>
      <c r="I169" s="256"/>
      <c r="J169" s="256"/>
      <c r="K169" s="256"/>
    </row>
    <row r="170" spans="1:18" s="292" customFormat="1" ht="13.5" customHeight="1" hidden="1">
      <c r="A170" s="184" t="s">
        <v>197</v>
      </c>
      <c r="B170" s="184" t="s">
        <v>196</v>
      </c>
      <c r="C170" s="821">
        <v>40900</v>
      </c>
      <c r="E170" s="229"/>
      <c r="F170" s="295"/>
      <c r="G170" s="202"/>
      <c r="H170" s="256"/>
      <c r="I170" s="256"/>
      <c r="J170" s="256"/>
      <c r="K170" s="256"/>
      <c r="L170" s="295"/>
      <c r="M170" s="295"/>
      <c r="N170" s="295"/>
      <c r="O170" s="295"/>
      <c r="P170" s="295"/>
      <c r="Q170" s="295"/>
      <c r="R170" s="295"/>
    </row>
    <row r="171" spans="1:18" s="292" customFormat="1" ht="13.5" customHeight="1" hidden="1">
      <c r="A171" s="184" t="s">
        <v>195</v>
      </c>
      <c r="B171" s="184" t="s">
        <v>194</v>
      </c>
      <c r="C171" s="821">
        <v>14800</v>
      </c>
      <c r="E171" s="229"/>
      <c r="F171" s="295"/>
      <c r="G171" s="202"/>
      <c r="H171" s="256"/>
      <c r="I171" s="256"/>
      <c r="J171" s="256"/>
      <c r="K171" s="256"/>
      <c r="L171" s="295"/>
      <c r="M171" s="295"/>
      <c r="N171" s="295"/>
      <c r="O171" s="295"/>
      <c r="P171" s="295"/>
      <c r="Q171" s="295"/>
      <c r="R171" s="295"/>
    </row>
    <row r="172" spans="1:18" s="292" customFormat="1" ht="13.5" customHeight="1">
      <c r="A172" s="390" t="s">
        <v>193</v>
      </c>
      <c r="B172" s="390" t="s">
        <v>192</v>
      </c>
      <c r="C172" s="33">
        <f>SUM(C173)</f>
        <v>1</v>
      </c>
      <c r="E172" s="229"/>
      <c r="F172" s="295"/>
      <c r="G172" s="202"/>
      <c r="H172" s="256"/>
      <c r="I172" s="256"/>
      <c r="J172" s="256"/>
      <c r="K172" s="256"/>
      <c r="L172" s="295"/>
      <c r="M172" s="295"/>
      <c r="N172" s="295"/>
      <c r="O172" s="295"/>
      <c r="P172" s="295"/>
      <c r="Q172" s="295"/>
      <c r="R172" s="295"/>
    </row>
    <row r="173" spans="1:18" s="292" customFormat="1" ht="13.5" customHeight="1" hidden="1">
      <c r="A173" s="184" t="s">
        <v>191</v>
      </c>
      <c r="B173" s="184" t="s">
        <v>190</v>
      </c>
      <c r="C173" s="821">
        <v>1</v>
      </c>
      <c r="D173" s="189"/>
      <c r="E173" s="229"/>
      <c r="F173" s="295"/>
      <c r="G173" s="256"/>
      <c r="H173" s="256"/>
      <c r="I173" s="256"/>
      <c r="J173" s="256"/>
      <c r="K173" s="256"/>
      <c r="L173" s="295"/>
      <c r="M173" s="295"/>
      <c r="N173" s="295"/>
      <c r="O173" s="295"/>
      <c r="P173" s="295"/>
      <c r="Q173" s="295"/>
      <c r="R173" s="295"/>
    </row>
    <row r="174" spans="1:11" s="289" customFormat="1" ht="13.5" customHeight="1">
      <c r="A174" s="353" t="s">
        <v>126</v>
      </c>
      <c r="B174" s="286" t="s">
        <v>127</v>
      </c>
      <c r="C174" s="33">
        <f>SUM(C175:C176)</f>
        <v>123000</v>
      </c>
      <c r="D174" s="25"/>
      <c r="E174" s="25"/>
      <c r="F174" s="290"/>
      <c r="G174" s="250"/>
      <c r="H174" s="250"/>
      <c r="I174" s="250"/>
      <c r="J174" s="250"/>
      <c r="K174" s="250"/>
    </row>
    <row r="175" spans="1:18" s="279" customFormat="1" ht="13.5" customHeight="1" hidden="1">
      <c r="A175" s="107" t="s">
        <v>101</v>
      </c>
      <c r="B175" s="184" t="s">
        <v>152</v>
      </c>
      <c r="C175" s="821">
        <v>18000</v>
      </c>
      <c r="D175" s="24"/>
      <c r="E175" s="24"/>
      <c r="F175" s="290"/>
      <c r="G175" s="250"/>
      <c r="H175" s="250"/>
      <c r="I175" s="250"/>
      <c r="J175" s="250"/>
      <c r="K175" s="250"/>
      <c r="L175" s="289"/>
      <c r="M175" s="289"/>
      <c r="N175" s="289"/>
      <c r="O175" s="289"/>
      <c r="P175" s="289"/>
      <c r="Q175" s="289"/>
      <c r="R175" s="289"/>
    </row>
    <row r="176" spans="1:18" s="279" customFormat="1" ht="13.5" customHeight="1" hidden="1">
      <c r="A176" s="107" t="s">
        <v>182</v>
      </c>
      <c r="B176" s="57" t="s">
        <v>183</v>
      </c>
      <c r="C176" s="821">
        <f>115000-10000</f>
        <v>105000</v>
      </c>
      <c r="D176" s="26"/>
      <c r="E176" s="24"/>
      <c r="F176" s="290"/>
      <c r="G176" s="250"/>
      <c r="H176" s="250"/>
      <c r="I176" s="250"/>
      <c r="J176" s="250"/>
      <c r="K176" s="250"/>
      <c r="L176" s="289"/>
      <c r="M176" s="289"/>
      <c r="N176" s="289"/>
      <c r="O176" s="289"/>
      <c r="P176" s="289"/>
      <c r="Q176" s="289"/>
      <c r="R176" s="289"/>
    </row>
    <row r="177" spans="1:18" s="279" customFormat="1" ht="13.5" customHeight="1">
      <c r="A177" s="353" t="s">
        <v>188</v>
      </c>
      <c r="B177" s="26" t="s">
        <v>145</v>
      </c>
      <c r="C177" s="26">
        <v>11700</v>
      </c>
      <c r="D177" s="26"/>
      <c r="E177" s="24"/>
      <c r="F177" s="290"/>
      <c r="G177" s="250"/>
      <c r="H177" s="250"/>
      <c r="I177" s="250"/>
      <c r="J177" s="250"/>
      <c r="K177" s="250"/>
      <c r="L177" s="289"/>
      <c r="M177" s="289"/>
      <c r="N177" s="289"/>
      <c r="O177" s="289"/>
      <c r="P177" s="289"/>
      <c r="Q177" s="289"/>
      <c r="R177" s="289"/>
    </row>
    <row r="178" spans="1:18" s="279" customFormat="1" ht="13.5" customHeight="1" hidden="1">
      <c r="A178" s="107" t="s">
        <v>189</v>
      </c>
      <c r="B178" s="57" t="s">
        <v>56</v>
      </c>
      <c r="C178" s="821">
        <v>6000</v>
      </c>
      <c r="D178" s="24"/>
      <c r="E178" s="24"/>
      <c r="F178" s="290"/>
      <c r="G178" s="250"/>
      <c r="H178" s="250"/>
      <c r="I178" s="250"/>
      <c r="J178" s="250"/>
      <c r="K178" s="250"/>
      <c r="L178" s="289"/>
      <c r="M178" s="289"/>
      <c r="N178" s="289"/>
      <c r="O178" s="289"/>
      <c r="P178" s="289"/>
      <c r="Q178" s="289"/>
      <c r="R178" s="289"/>
    </row>
    <row r="179" spans="1:18" s="279" customFormat="1" ht="13.5" customHeight="1">
      <c r="A179" s="107"/>
      <c r="B179" s="57"/>
      <c r="C179" s="25"/>
      <c r="D179" s="24"/>
      <c r="E179" s="24"/>
      <c r="F179" s="290"/>
      <c r="G179" s="250"/>
      <c r="H179" s="250"/>
      <c r="I179" s="250"/>
      <c r="J179" s="250"/>
      <c r="K179" s="250"/>
      <c r="L179" s="289"/>
      <c r="M179" s="289"/>
      <c r="N179" s="289"/>
      <c r="O179" s="289"/>
      <c r="P179" s="289"/>
      <c r="Q179" s="289"/>
      <c r="R179" s="289"/>
    </row>
    <row r="180" spans="1:18" s="7" customFormat="1" ht="13.5" customHeight="1" thickBot="1">
      <c r="A180" s="12"/>
      <c r="B180" s="247"/>
      <c r="C180" s="33"/>
      <c r="D180" s="300"/>
      <c r="E180" s="228"/>
      <c r="F180" s="302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6" s="303" customFormat="1" ht="13.5" customHeight="1">
      <c r="A181" s="64" t="s">
        <v>330</v>
      </c>
      <c r="B181" s="220"/>
      <c r="C181" s="65"/>
      <c r="D181" s="219" t="s">
        <v>6</v>
      </c>
      <c r="E181" s="218">
        <v>1203</v>
      </c>
      <c r="F181" s="302"/>
    </row>
    <row r="182" spans="1:6" s="303" customFormat="1" ht="13.5" customHeight="1" thickBot="1">
      <c r="A182" s="49"/>
      <c r="B182" s="204"/>
      <c r="C182" s="119"/>
      <c r="D182" s="217"/>
      <c r="E182" s="216"/>
      <c r="F182" s="302"/>
    </row>
    <row r="183" spans="1:6" s="303" customFormat="1" ht="13.5" customHeight="1">
      <c r="A183" s="45" t="s">
        <v>331</v>
      </c>
      <c r="B183" s="207"/>
      <c r="C183" s="172"/>
      <c r="D183" s="211"/>
      <c r="E183" s="212"/>
      <c r="F183" s="304"/>
    </row>
    <row r="184" spans="1:6" s="303" customFormat="1" ht="13.5" customHeight="1">
      <c r="A184" s="45" t="s">
        <v>332</v>
      </c>
      <c r="B184" s="207"/>
      <c r="C184" s="172"/>
      <c r="D184" s="211"/>
      <c r="E184" s="212"/>
      <c r="F184" s="304"/>
    </row>
    <row r="185" spans="1:6" s="303" customFormat="1" ht="13.5" customHeight="1">
      <c r="A185" s="45" t="s">
        <v>333</v>
      </c>
      <c r="B185" s="207"/>
      <c r="C185" s="172"/>
      <c r="D185" s="211"/>
      <c r="E185" s="212"/>
      <c r="F185" s="304"/>
    </row>
    <row r="186" spans="1:6" s="303" customFormat="1" ht="13.5" customHeight="1">
      <c r="A186" s="45" t="s">
        <v>334</v>
      </c>
      <c r="B186" s="207"/>
      <c r="C186" s="172"/>
      <c r="D186" s="211"/>
      <c r="E186" s="212"/>
      <c r="F186" s="304"/>
    </row>
    <row r="187" spans="1:6" s="303" customFormat="1" ht="13.5" customHeight="1">
      <c r="A187" s="45" t="s">
        <v>335</v>
      </c>
      <c r="B187" s="207"/>
      <c r="C187" s="172"/>
      <c r="D187" s="211"/>
      <c r="E187" s="212"/>
      <c r="F187" s="304"/>
    </row>
    <row r="188" spans="1:6" s="303" customFormat="1" ht="13.5" customHeight="1" thickBot="1">
      <c r="A188" s="49" t="s">
        <v>336</v>
      </c>
      <c r="B188" s="204"/>
      <c r="C188" s="119"/>
      <c r="D188" s="305"/>
      <c r="E188" s="230"/>
      <c r="F188" s="304"/>
    </row>
    <row r="189" spans="1:6" s="14" customFormat="1" ht="13.5" customHeight="1">
      <c r="A189" s="52" t="s">
        <v>1365</v>
      </c>
      <c r="B189" s="199"/>
      <c r="C189" s="25"/>
      <c r="D189" s="306"/>
      <c r="E189" s="197"/>
      <c r="F189" s="302"/>
    </row>
    <row r="190" spans="1:6" s="14" customFormat="1" ht="13.5" customHeight="1">
      <c r="A190" s="52" t="s">
        <v>337</v>
      </c>
      <c r="B190" s="199"/>
      <c r="C190" s="25"/>
      <c r="D190" s="306"/>
      <c r="E190" s="197"/>
      <c r="F190" s="302"/>
    </row>
    <row r="191" spans="1:6" s="14" customFormat="1" ht="13.5" customHeight="1">
      <c r="A191" s="52" t="s">
        <v>1421</v>
      </c>
      <c r="B191" s="199"/>
      <c r="C191" s="25"/>
      <c r="D191" s="306"/>
      <c r="E191" s="197"/>
      <c r="F191" s="302"/>
    </row>
    <row r="192" spans="1:6" s="14" customFormat="1" ht="13.5" customHeight="1" thickBot="1">
      <c r="A192" s="52" t="s">
        <v>11</v>
      </c>
      <c r="B192" s="199"/>
      <c r="C192" s="25"/>
      <c r="D192" s="306"/>
      <c r="E192" s="193"/>
      <c r="F192" s="302"/>
    </row>
    <row r="193" spans="1:6" s="303" customFormat="1" ht="13.5" customHeight="1" thickBot="1">
      <c r="A193" s="307" t="s">
        <v>0</v>
      </c>
      <c r="B193" s="308"/>
      <c r="C193" s="309"/>
      <c r="D193" s="310"/>
      <c r="E193" s="943">
        <f>SUM(C195+C206+C218)</f>
        <v>425675</v>
      </c>
      <c r="F193" s="311"/>
    </row>
    <row r="194" spans="1:18" s="7" customFormat="1" ht="13.5" customHeight="1" thickBot="1">
      <c r="A194" s="13"/>
      <c r="B194" s="199"/>
      <c r="C194" s="25"/>
      <c r="D194" s="306"/>
      <c r="E194" s="59"/>
      <c r="F194" s="302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s="7" customFormat="1" ht="13.5" customHeight="1" thickBot="1">
      <c r="A195" s="947" t="s">
        <v>2</v>
      </c>
      <c r="B195" s="948"/>
      <c r="C195" s="38">
        <f>C196+C198+C200+C202</f>
        <v>223765</v>
      </c>
      <c r="D195" s="94"/>
      <c r="E195" s="312"/>
      <c r="F195" s="302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5" s="302" customFormat="1" ht="13.5" customHeight="1">
      <c r="A196" s="12" t="s">
        <v>113</v>
      </c>
      <c r="B196" s="404" t="s">
        <v>114</v>
      </c>
      <c r="C196" s="34">
        <f>SUM(C197)</f>
        <v>22800</v>
      </c>
      <c r="D196" s="130"/>
      <c r="E196" s="313"/>
    </row>
    <row r="197" spans="1:7" s="57" customFormat="1" ht="13.5" customHeight="1" hidden="1">
      <c r="A197" s="13" t="s">
        <v>50</v>
      </c>
      <c r="B197" s="57" t="s">
        <v>180</v>
      </c>
      <c r="C197" s="821">
        <v>22800</v>
      </c>
      <c r="F197" s="137"/>
      <c r="G197" s="33"/>
    </row>
    <row r="198" spans="1:7" s="57" customFormat="1" ht="13.5" customHeight="1">
      <c r="A198" s="12" t="s">
        <v>115</v>
      </c>
      <c r="B198" s="791" t="s">
        <v>116</v>
      </c>
      <c r="C198" s="33">
        <f>SUM(C199)</f>
        <v>57350</v>
      </c>
      <c r="F198" s="137"/>
      <c r="G198" s="33"/>
    </row>
    <row r="199" spans="1:18" s="9" customFormat="1" ht="13.5" customHeight="1" hidden="1">
      <c r="A199" s="13" t="s">
        <v>96</v>
      </c>
      <c r="B199" s="57" t="s">
        <v>71</v>
      </c>
      <c r="C199" s="821">
        <v>57350</v>
      </c>
      <c r="F199" s="142"/>
      <c r="G199" s="108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</row>
    <row r="200" spans="1:18" s="9" customFormat="1" ht="13.5" customHeight="1">
      <c r="A200" s="12" t="s">
        <v>117</v>
      </c>
      <c r="B200" s="791" t="s">
        <v>118</v>
      </c>
      <c r="C200" s="26">
        <f>SUM(C201)</f>
        <v>120240</v>
      </c>
      <c r="F200" s="142"/>
      <c r="G200" s="108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</row>
    <row r="201" spans="1:18" s="9" customFormat="1" ht="13.5" customHeight="1" hidden="1">
      <c r="A201" s="13" t="s">
        <v>51</v>
      </c>
      <c r="B201" s="57" t="s">
        <v>52</v>
      </c>
      <c r="C201" s="821">
        <f>100200*1.2</f>
        <v>120240</v>
      </c>
      <c r="F201" s="142"/>
      <c r="G201" s="108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</row>
    <row r="202" spans="1:18" s="9" customFormat="1" ht="13.5" customHeight="1">
      <c r="A202" s="353" t="s">
        <v>169</v>
      </c>
      <c r="B202" s="26" t="s">
        <v>144</v>
      </c>
      <c r="C202" s="26">
        <f>SUM(C203:C204)</f>
        <v>23375</v>
      </c>
      <c r="F202" s="142"/>
      <c r="G202" s="108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</row>
    <row r="203" spans="1:18" s="9" customFormat="1" ht="13.5" customHeight="1" hidden="1">
      <c r="A203" s="13" t="s">
        <v>170</v>
      </c>
      <c r="B203" s="57" t="s">
        <v>70</v>
      </c>
      <c r="C203" s="821">
        <v>12650</v>
      </c>
      <c r="F203" s="142"/>
      <c r="G203" s="108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</row>
    <row r="204" spans="1:18" s="9" customFormat="1" ht="13.5" customHeight="1" hidden="1">
      <c r="A204" s="13" t="s">
        <v>172</v>
      </c>
      <c r="B204" s="57" t="s">
        <v>135</v>
      </c>
      <c r="C204" s="821">
        <f>8250*1.3</f>
        <v>10725</v>
      </c>
      <c r="F204" s="142"/>
      <c r="G204" s="108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</row>
    <row r="205" spans="1:18" s="9" customFormat="1" ht="13.5" customHeight="1" thickBot="1">
      <c r="A205" s="107"/>
      <c r="B205" s="57"/>
      <c r="C205" s="24"/>
      <c r="F205" s="142"/>
      <c r="G205" s="108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</row>
    <row r="206" spans="1:18" s="9" customFormat="1" ht="13.5" customHeight="1" thickBot="1">
      <c r="A206" s="949" t="s">
        <v>3</v>
      </c>
      <c r="B206" s="950"/>
      <c r="C206" s="36">
        <f>C207+C209+C212</f>
        <v>175460</v>
      </c>
      <c r="F206" s="79"/>
      <c r="G206" s="108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</row>
    <row r="207" spans="1:7" s="140" customFormat="1" ht="13.5" customHeight="1">
      <c r="A207" s="95" t="s">
        <v>120</v>
      </c>
      <c r="B207" s="404" t="s">
        <v>121</v>
      </c>
      <c r="C207" s="34">
        <f>SUM(C208)</f>
        <v>32460</v>
      </c>
      <c r="F207" s="135"/>
      <c r="G207" s="225"/>
    </row>
    <row r="208" spans="1:18" s="9" customFormat="1" ht="13.5" customHeight="1" hidden="1">
      <c r="A208" s="86" t="s">
        <v>57</v>
      </c>
      <c r="B208" s="86" t="s">
        <v>18</v>
      </c>
      <c r="C208" s="821">
        <f>22460+10000</f>
        <v>32460</v>
      </c>
      <c r="F208" s="142"/>
      <c r="G208" s="108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</row>
    <row r="209" spans="1:18" s="9" customFormat="1" ht="13.5" customHeight="1">
      <c r="A209" s="95" t="s">
        <v>130</v>
      </c>
      <c r="B209" s="95" t="s">
        <v>131</v>
      </c>
      <c r="C209" s="26">
        <f>SUM(C210:C211)</f>
        <v>13800</v>
      </c>
      <c r="F209" s="142"/>
      <c r="G209" s="108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</row>
    <row r="210" spans="1:7" s="57" customFormat="1" ht="13.5" customHeight="1" hidden="1">
      <c r="A210" s="86" t="s">
        <v>300</v>
      </c>
      <c r="B210" s="57" t="s">
        <v>301</v>
      </c>
      <c r="C210" s="821">
        <v>5950</v>
      </c>
      <c r="F210" s="142"/>
      <c r="G210" s="108"/>
    </row>
    <row r="211" spans="1:7" s="57" customFormat="1" ht="13.5" customHeight="1" hidden="1">
      <c r="A211" s="86" t="s">
        <v>148</v>
      </c>
      <c r="B211" s="57" t="s">
        <v>243</v>
      </c>
      <c r="C211" s="821">
        <v>7850</v>
      </c>
      <c r="F211" s="142"/>
      <c r="G211" s="108"/>
    </row>
    <row r="212" spans="1:7" s="57" customFormat="1" ht="13.5" customHeight="1">
      <c r="A212" s="12" t="s">
        <v>125</v>
      </c>
      <c r="B212" s="353" t="s">
        <v>8</v>
      </c>
      <c r="C212" s="33">
        <f>SUM(C213:C216)</f>
        <v>129200</v>
      </c>
      <c r="F212" s="142"/>
      <c r="G212" s="108"/>
    </row>
    <row r="213" spans="1:255" s="57" customFormat="1" ht="13.5" customHeight="1" hidden="1">
      <c r="A213" s="86" t="s">
        <v>99</v>
      </c>
      <c r="B213" s="107" t="s">
        <v>8</v>
      </c>
      <c r="C213" s="821">
        <f>177400-82000</f>
        <v>95400</v>
      </c>
      <c r="F213" s="108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</row>
    <row r="214" spans="1:18" s="9" customFormat="1" ht="13.5" customHeight="1" hidden="1">
      <c r="A214" s="86" t="s">
        <v>205</v>
      </c>
      <c r="B214" s="57" t="s">
        <v>204</v>
      </c>
      <c r="C214" s="821">
        <v>7300</v>
      </c>
      <c r="D214" s="315"/>
      <c r="E214" s="10"/>
      <c r="F214" s="140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</row>
    <row r="215" spans="1:18" s="9" customFormat="1" ht="13.5" customHeight="1" hidden="1">
      <c r="A215" s="13" t="s">
        <v>266</v>
      </c>
      <c r="B215" s="57" t="s">
        <v>265</v>
      </c>
      <c r="C215" s="821">
        <v>12500</v>
      </c>
      <c r="D215" s="315"/>
      <c r="E215" s="10"/>
      <c r="F215" s="140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</row>
    <row r="216" spans="1:255" s="9" customFormat="1" ht="13.5" customHeight="1" hidden="1">
      <c r="A216" s="86" t="s">
        <v>100</v>
      </c>
      <c r="B216" s="13" t="s">
        <v>7</v>
      </c>
      <c r="C216" s="821">
        <v>14000</v>
      </c>
      <c r="D216" s="142"/>
      <c r="E216" s="108"/>
      <c r="F216" s="140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57"/>
      <c r="GW216" s="57"/>
      <c r="GX216" s="57"/>
      <c r="GY216" s="57"/>
      <c r="GZ216" s="57"/>
      <c r="HA216" s="57"/>
      <c r="HB216" s="57"/>
      <c r="HC216" s="57"/>
      <c r="HD216" s="57"/>
      <c r="HE216" s="57"/>
      <c r="HF216" s="57"/>
      <c r="HG216" s="57"/>
      <c r="HH216" s="57"/>
      <c r="HI216" s="57"/>
      <c r="HJ216" s="57"/>
      <c r="HK216" s="57"/>
      <c r="HL216" s="57"/>
      <c r="HM216" s="57"/>
      <c r="HN216" s="57"/>
      <c r="HO216" s="57"/>
      <c r="HP216" s="57"/>
      <c r="HQ216" s="57"/>
      <c r="HR216" s="57"/>
      <c r="HS216" s="57"/>
      <c r="HT216" s="57"/>
      <c r="HU216" s="57"/>
      <c r="HV216" s="57"/>
      <c r="HW216" s="57"/>
      <c r="HX216" s="57"/>
      <c r="HY216" s="57"/>
      <c r="HZ216" s="57"/>
      <c r="IA216" s="57"/>
      <c r="IB216" s="57"/>
      <c r="IC216" s="57"/>
      <c r="ID216" s="57"/>
      <c r="IE216" s="57"/>
      <c r="IF216" s="57"/>
      <c r="IG216" s="57"/>
      <c r="IH216" s="57"/>
      <c r="II216" s="57"/>
      <c r="IJ216" s="57"/>
      <c r="IK216" s="57"/>
      <c r="IL216" s="57"/>
      <c r="IM216" s="57"/>
      <c r="IN216" s="57"/>
      <c r="IO216" s="57"/>
      <c r="IP216" s="57"/>
      <c r="IQ216" s="57"/>
      <c r="IR216" s="57"/>
      <c r="IS216" s="57"/>
      <c r="IT216" s="57"/>
      <c r="IU216" s="57"/>
    </row>
    <row r="217" spans="1:18" s="9" customFormat="1" ht="13.5" customHeight="1" thickBot="1">
      <c r="A217" s="107"/>
      <c r="B217" s="107"/>
      <c r="C217" s="24"/>
      <c r="D217" s="314"/>
      <c r="E217" s="10"/>
      <c r="F217" s="140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</row>
    <row r="218" spans="1:18" s="9" customFormat="1" ht="13.5" customHeight="1" thickBot="1">
      <c r="A218" s="951" t="s">
        <v>4</v>
      </c>
      <c r="B218" s="952"/>
      <c r="C218" s="32">
        <f>C219+C221</f>
        <v>26450</v>
      </c>
      <c r="D218" s="102"/>
      <c r="E218" s="10"/>
      <c r="F218" s="140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</row>
    <row r="219" spans="1:5" s="140" customFormat="1" ht="13.5" customHeight="1">
      <c r="A219" s="353" t="s">
        <v>126</v>
      </c>
      <c r="B219" s="404" t="s">
        <v>127</v>
      </c>
      <c r="C219" s="34">
        <f>SUM(C220:C220)</f>
        <v>21450</v>
      </c>
      <c r="D219" s="135"/>
      <c r="E219" s="225"/>
    </row>
    <row r="220" spans="1:18" s="9" customFormat="1" ht="13.5" customHeight="1" hidden="1">
      <c r="A220" s="107" t="s">
        <v>101</v>
      </c>
      <c r="B220" s="57" t="s">
        <v>152</v>
      </c>
      <c r="C220" s="821">
        <v>21450</v>
      </c>
      <c r="D220" s="314"/>
      <c r="E220" s="10"/>
      <c r="F220" s="140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</row>
    <row r="221" spans="1:18" s="9" customFormat="1" ht="13.5" customHeight="1">
      <c r="A221" s="353" t="s">
        <v>188</v>
      </c>
      <c r="B221" s="26" t="s">
        <v>146</v>
      </c>
      <c r="C221" s="26">
        <f>SUM(C222)</f>
        <v>5000</v>
      </c>
      <c r="D221" s="314"/>
      <c r="E221" s="10"/>
      <c r="F221" s="140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</row>
    <row r="222" spans="1:18" s="9" customFormat="1" ht="13.5" customHeight="1" hidden="1">
      <c r="A222" s="107" t="s">
        <v>189</v>
      </c>
      <c r="B222" s="57" t="s">
        <v>56</v>
      </c>
      <c r="C222" s="821">
        <v>5000</v>
      </c>
      <c r="D222" s="315"/>
      <c r="E222" s="10"/>
      <c r="F222" s="140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</row>
    <row r="223" spans="1:18" s="7" customFormat="1" ht="13.5" customHeight="1">
      <c r="A223" s="11"/>
      <c r="B223" s="249"/>
      <c r="C223" s="29"/>
      <c r="D223" s="316"/>
      <c r="E223" s="228"/>
      <c r="F223" s="302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s="222" customFormat="1" ht="13.5" customHeight="1">
      <c r="A224" s="107"/>
      <c r="B224" s="57"/>
      <c r="C224" s="24"/>
      <c r="D224" s="24"/>
      <c r="E224" s="24"/>
      <c r="F224" s="108"/>
      <c r="G224" s="250"/>
      <c r="H224" s="250"/>
      <c r="I224" s="250"/>
      <c r="J224" s="250"/>
      <c r="K224" s="250"/>
      <c r="L224" s="109"/>
      <c r="M224" s="109"/>
      <c r="N224" s="109"/>
      <c r="O224" s="109"/>
      <c r="P224" s="109"/>
      <c r="Q224" s="109"/>
      <c r="R224" s="109"/>
    </row>
    <row r="225" spans="3:18" s="68" customFormat="1" ht="14.25" thickBot="1">
      <c r="C225" s="94"/>
      <c r="D225" s="94"/>
      <c r="E225" s="94"/>
      <c r="F225" s="302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1:6" s="104" customFormat="1" ht="13.5">
      <c r="A226" s="72" t="s">
        <v>338</v>
      </c>
      <c r="B226" s="73"/>
      <c r="C226" s="74"/>
      <c r="D226" s="75" t="s">
        <v>6</v>
      </c>
      <c r="E226" s="76" t="s">
        <v>339</v>
      </c>
      <c r="F226" s="302"/>
    </row>
    <row r="227" spans="1:6" s="104" customFormat="1" ht="14.25" thickBot="1">
      <c r="A227" s="81"/>
      <c r="B227" s="82" t="s">
        <v>340</v>
      </c>
      <c r="C227" s="83"/>
      <c r="D227" s="174"/>
      <c r="E227" s="173"/>
      <c r="F227" s="302"/>
    </row>
    <row r="228" spans="1:6" s="104" customFormat="1" ht="13.5">
      <c r="A228" s="77" t="s">
        <v>341</v>
      </c>
      <c r="B228" s="78"/>
      <c r="C228" s="79"/>
      <c r="D228" s="79"/>
      <c r="E228" s="80"/>
      <c r="F228" s="302"/>
    </row>
    <row r="229" spans="1:6" s="104" customFormat="1" ht="13.5">
      <c r="A229" s="77" t="s">
        <v>342</v>
      </c>
      <c r="B229" s="78"/>
      <c r="C229" s="79"/>
      <c r="D229" s="79"/>
      <c r="E229" s="80"/>
      <c r="F229" s="302"/>
    </row>
    <row r="230" spans="1:6" s="104" customFormat="1" ht="13.5">
      <c r="A230" s="77" t="s">
        <v>343</v>
      </c>
      <c r="B230" s="78"/>
      <c r="C230" s="79"/>
      <c r="D230" s="79"/>
      <c r="E230" s="80"/>
      <c r="F230" s="302"/>
    </row>
    <row r="231" spans="1:6" s="104" customFormat="1" ht="13.5">
      <c r="A231" s="77" t="s">
        <v>344</v>
      </c>
      <c r="B231" s="78"/>
      <c r="C231" s="79"/>
      <c r="D231" s="79"/>
      <c r="E231" s="80"/>
      <c r="F231" s="302"/>
    </row>
    <row r="232" spans="1:6" s="104" customFormat="1" ht="13.5">
      <c r="A232" s="77" t="s">
        <v>345</v>
      </c>
      <c r="B232" s="78"/>
      <c r="C232" s="79"/>
      <c r="D232" s="79"/>
      <c r="E232" s="88"/>
      <c r="F232" s="302"/>
    </row>
    <row r="233" spans="1:6" s="104" customFormat="1" ht="13.5">
      <c r="A233" s="77" t="s">
        <v>346</v>
      </c>
      <c r="B233" s="78"/>
      <c r="C233" s="79"/>
      <c r="D233" s="79"/>
      <c r="E233" s="88"/>
      <c r="F233" s="317"/>
    </row>
    <row r="234" spans="1:6" s="104" customFormat="1" ht="13.5">
      <c r="A234" s="77" t="s">
        <v>347</v>
      </c>
      <c r="B234" s="78"/>
      <c r="C234" s="79"/>
      <c r="D234" s="79"/>
      <c r="E234" s="88"/>
      <c r="F234" s="317"/>
    </row>
    <row r="235" spans="1:6" s="104" customFormat="1" ht="13.5">
      <c r="A235" s="77" t="s">
        <v>348</v>
      </c>
      <c r="B235" s="78"/>
      <c r="C235" s="79"/>
      <c r="D235" s="79"/>
      <c r="E235" s="80"/>
      <c r="F235" s="302"/>
    </row>
    <row r="236" spans="1:6" s="104" customFormat="1" ht="13.5">
      <c r="A236" s="77" t="s">
        <v>349</v>
      </c>
      <c r="B236" s="78"/>
      <c r="C236" s="79"/>
      <c r="D236" s="79"/>
      <c r="E236" s="80"/>
      <c r="F236" s="302"/>
    </row>
    <row r="237" spans="1:6" s="104" customFormat="1" ht="13.5">
      <c r="A237" s="77" t="s">
        <v>350</v>
      </c>
      <c r="B237" s="78"/>
      <c r="C237" s="79"/>
      <c r="D237" s="79"/>
      <c r="E237" s="80"/>
      <c r="F237" s="302"/>
    </row>
    <row r="238" spans="1:6" s="104" customFormat="1" ht="13.5">
      <c r="A238" s="77" t="s">
        <v>351</v>
      </c>
      <c r="B238" s="78"/>
      <c r="C238" s="79"/>
      <c r="D238" s="79"/>
      <c r="E238" s="88"/>
      <c r="F238" s="302"/>
    </row>
    <row r="239" spans="1:6" s="104" customFormat="1" ht="13.5">
      <c r="A239" s="77" t="s">
        <v>352</v>
      </c>
      <c r="B239" s="78"/>
      <c r="C239" s="79"/>
      <c r="D239" s="79"/>
      <c r="E239" s="88"/>
      <c r="F239" s="302"/>
    </row>
    <row r="240" spans="1:6" s="104" customFormat="1" ht="13.5">
      <c r="A240" s="77" t="s">
        <v>353</v>
      </c>
      <c r="B240" s="78"/>
      <c r="C240" s="79"/>
      <c r="D240" s="79"/>
      <c r="E240" s="80"/>
      <c r="F240" s="302"/>
    </row>
    <row r="241" spans="1:6" s="104" customFormat="1" ht="13.5">
      <c r="A241" s="77" t="s">
        <v>354</v>
      </c>
      <c r="B241" s="78"/>
      <c r="C241" s="79"/>
      <c r="D241" s="79"/>
      <c r="E241" s="80"/>
      <c r="F241" s="302"/>
    </row>
    <row r="242" spans="1:6" s="104" customFormat="1" ht="14.25" thickBot="1">
      <c r="A242" s="81" t="s">
        <v>355</v>
      </c>
      <c r="B242" s="82"/>
      <c r="C242" s="83"/>
      <c r="D242" s="83"/>
      <c r="E242" s="84"/>
      <c r="F242" s="302"/>
    </row>
    <row r="243" spans="1:6" s="318" customFormat="1" ht="13.5">
      <c r="A243" s="85" t="s">
        <v>1365</v>
      </c>
      <c r="B243" s="86"/>
      <c r="C243" s="87"/>
      <c r="D243" s="87"/>
      <c r="E243" s="88"/>
      <c r="F243" s="302"/>
    </row>
    <row r="244" spans="1:6" s="318" customFormat="1" ht="13.5">
      <c r="A244" s="85" t="s">
        <v>356</v>
      </c>
      <c r="B244" s="86"/>
      <c r="C244" s="87"/>
      <c r="D244" s="87"/>
      <c r="E244" s="88"/>
      <c r="F244" s="302"/>
    </row>
    <row r="245" spans="1:6" s="318" customFormat="1" ht="13.5">
      <c r="A245" s="52" t="s">
        <v>1421</v>
      </c>
      <c r="B245" s="86"/>
      <c r="C245" s="87"/>
      <c r="D245" s="87"/>
      <c r="E245" s="88"/>
      <c r="F245" s="302"/>
    </row>
    <row r="246" spans="1:6" s="318" customFormat="1" ht="14.25" thickBot="1">
      <c r="A246" s="85" t="s">
        <v>16</v>
      </c>
      <c r="B246" s="86"/>
      <c r="C246" s="87"/>
      <c r="D246" s="87"/>
      <c r="E246" s="88"/>
      <c r="F246" s="302"/>
    </row>
    <row r="247" spans="1:7" s="318" customFormat="1" ht="14.25" thickBot="1">
      <c r="A247" s="89" t="s">
        <v>17</v>
      </c>
      <c r="B247" s="90"/>
      <c r="C247" s="91"/>
      <c r="D247" s="92"/>
      <c r="E247" s="93">
        <f>+C250+C277+C297+C305</f>
        <v>4370871</v>
      </c>
      <c r="F247" s="319"/>
      <c r="G247" s="319"/>
    </row>
    <row r="248" spans="1:6" s="318" customFormat="1" ht="13.5">
      <c r="A248" s="95"/>
      <c r="B248" s="95"/>
      <c r="C248" s="96"/>
      <c r="D248" s="96"/>
      <c r="E248" s="320"/>
      <c r="F248" s="302"/>
    </row>
    <row r="249" spans="1:18" s="100" customFormat="1" ht="14.25" thickBot="1">
      <c r="A249" s="86"/>
      <c r="B249" s="105"/>
      <c r="C249" s="101"/>
      <c r="D249" s="321"/>
      <c r="E249" s="102"/>
      <c r="F249" s="140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1:18" s="100" customFormat="1" ht="14.25" thickBot="1">
      <c r="A250" s="955" t="s">
        <v>2</v>
      </c>
      <c r="B250" s="956"/>
      <c r="C250" s="97">
        <f>C251+C253+C256+C259+C261+C264+C269+C272</f>
        <v>761145</v>
      </c>
      <c r="D250" s="132"/>
      <c r="E250" s="152"/>
      <c r="F250" s="140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1:6" s="323" customFormat="1" ht="13.5">
      <c r="A251" s="12" t="s">
        <v>113</v>
      </c>
      <c r="B251" s="404" t="s">
        <v>114</v>
      </c>
      <c r="C251" s="816">
        <f>SUM(C252)</f>
        <v>85115</v>
      </c>
      <c r="D251" s="135"/>
      <c r="E251" s="322"/>
      <c r="F251" s="140"/>
    </row>
    <row r="252" spans="1:18" s="100" customFormat="1" ht="13.5" hidden="1">
      <c r="A252" s="13" t="s">
        <v>50</v>
      </c>
      <c r="B252" s="57" t="s">
        <v>180</v>
      </c>
      <c r="C252" s="822">
        <f>95115-10000</f>
        <v>85115</v>
      </c>
      <c r="D252" s="105"/>
      <c r="E252" s="102"/>
      <c r="F252" s="140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1:11" s="289" customFormat="1" ht="13.5" customHeight="1">
      <c r="A253" s="353" t="s">
        <v>223</v>
      </c>
      <c r="B253" s="404" t="s">
        <v>272</v>
      </c>
      <c r="C253" s="33">
        <f>SUM(C254:C255)</f>
        <v>13000</v>
      </c>
      <c r="D253" s="25"/>
      <c r="E253" s="25"/>
      <c r="F253" s="290"/>
      <c r="G253" s="250"/>
      <c r="H253" s="250"/>
      <c r="I253" s="250"/>
      <c r="J253" s="250"/>
      <c r="K253" s="250"/>
    </row>
    <row r="254" spans="1:18" s="279" customFormat="1" ht="13.5" hidden="1">
      <c r="A254" s="107" t="s">
        <v>221</v>
      </c>
      <c r="B254" s="57" t="s">
        <v>220</v>
      </c>
      <c r="C254" s="821">
        <v>5500</v>
      </c>
      <c r="D254" s="24"/>
      <c r="E254" s="107"/>
      <c r="F254" s="290"/>
      <c r="G254" s="250"/>
      <c r="H254" s="250"/>
      <c r="I254" s="250"/>
      <c r="J254" s="250"/>
      <c r="K254" s="250"/>
      <c r="L254" s="289"/>
      <c r="M254" s="289"/>
      <c r="N254" s="289"/>
      <c r="O254" s="289"/>
      <c r="P254" s="289"/>
      <c r="Q254" s="289"/>
      <c r="R254" s="289"/>
    </row>
    <row r="255" spans="1:18" s="292" customFormat="1" ht="13.5" customHeight="1" hidden="1">
      <c r="A255" s="13" t="s">
        <v>271</v>
      </c>
      <c r="B255" s="9" t="s">
        <v>270</v>
      </c>
      <c r="C255" s="821">
        <v>7500</v>
      </c>
      <c r="D255" s="29"/>
      <c r="E255" s="29"/>
      <c r="F255" s="278"/>
      <c r="G255" s="256"/>
      <c r="H255" s="256"/>
      <c r="I255" s="256"/>
      <c r="J255" s="256"/>
      <c r="K255" s="256"/>
      <c r="L255" s="295"/>
      <c r="M255" s="295"/>
      <c r="N255" s="295"/>
      <c r="O255" s="295"/>
      <c r="P255" s="295"/>
      <c r="Q255" s="295"/>
      <c r="R255" s="295"/>
    </row>
    <row r="256" spans="1:18" s="100" customFormat="1" ht="13.5">
      <c r="A256" s="12" t="s">
        <v>115</v>
      </c>
      <c r="B256" s="791" t="s">
        <v>116</v>
      </c>
      <c r="C256" s="96">
        <f>SUM(C257:C258)</f>
        <v>48780</v>
      </c>
      <c r="D256" s="324"/>
      <c r="F256" s="140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1:255" s="100" customFormat="1" ht="13.5" hidden="1">
      <c r="A257" s="13" t="s">
        <v>72</v>
      </c>
      <c r="B257" s="9" t="s">
        <v>73</v>
      </c>
      <c r="C257" s="821">
        <v>13680</v>
      </c>
      <c r="D257" s="137"/>
      <c r="E257" s="33"/>
      <c r="F257" s="57"/>
      <c r="G257" s="71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7"/>
      <c r="FK257" s="57"/>
      <c r="FL257" s="57"/>
      <c r="FM257" s="57"/>
      <c r="FN257" s="57"/>
      <c r="FO257" s="57"/>
      <c r="FP257" s="57"/>
      <c r="FQ257" s="57"/>
      <c r="FR257" s="57"/>
      <c r="FS257" s="57"/>
      <c r="FT257" s="57"/>
      <c r="FU257" s="57"/>
      <c r="FV257" s="57"/>
      <c r="FW257" s="57"/>
      <c r="FX257" s="57"/>
      <c r="FY257" s="57"/>
      <c r="FZ257" s="57"/>
      <c r="GA257" s="57"/>
      <c r="GB257" s="57"/>
      <c r="GC257" s="57"/>
      <c r="GD257" s="57"/>
      <c r="GE257" s="57"/>
      <c r="GF257" s="57"/>
      <c r="GG257" s="57"/>
      <c r="GH257" s="57"/>
      <c r="GI257" s="57"/>
      <c r="GJ257" s="57"/>
      <c r="GK257" s="57"/>
      <c r="GL257" s="57"/>
      <c r="GM257" s="57"/>
      <c r="GN257" s="57"/>
      <c r="GO257" s="57"/>
      <c r="GP257" s="57"/>
      <c r="GQ257" s="57"/>
      <c r="GR257" s="57"/>
      <c r="GS257" s="57"/>
      <c r="GT257" s="57"/>
      <c r="GU257" s="57"/>
      <c r="GV257" s="57"/>
      <c r="GW257" s="57"/>
      <c r="GX257" s="57"/>
      <c r="GY257" s="57"/>
      <c r="GZ257" s="57"/>
      <c r="HA257" s="57"/>
      <c r="HB257" s="57"/>
      <c r="HC257" s="57"/>
      <c r="HD257" s="57"/>
      <c r="HE257" s="57"/>
      <c r="HF257" s="57"/>
      <c r="HG257" s="57"/>
      <c r="HH257" s="57"/>
      <c r="HI257" s="57"/>
      <c r="HJ257" s="57"/>
      <c r="HK257" s="57"/>
      <c r="HL257" s="57"/>
      <c r="HM257" s="57"/>
      <c r="HN257" s="57"/>
      <c r="HO257" s="57"/>
      <c r="HP257" s="57"/>
      <c r="HQ257" s="57"/>
      <c r="HR257" s="57"/>
      <c r="HS257" s="57"/>
      <c r="HT257" s="57"/>
      <c r="HU257" s="57"/>
      <c r="HV257" s="57"/>
      <c r="HW257" s="57"/>
      <c r="HX257" s="57"/>
      <c r="HY257" s="57"/>
      <c r="HZ257" s="57"/>
      <c r="IA257" s="57"/>
      <c r="IB257" s="57"/>
      <c r="IC257" s="57"/>
      <c r="ID257" s="57"/>
      <c r="IE257" s="57"/>
      <c r="IF257" s="57"/>
      <c r="IG257" s="57"/>
      <c r="IH257" s="57"/>
      <c r="II257" s="57"/>
      <c r="IJ257" s="57"/>
      <c r="IK257" s="57"/>
      <c r="IL257" s="57"/>
      <c r="IM257" s="57"/>
      <c r="IN257" s="57"/>
      <c r="IO257" s="57"/>
      <c r="IP257" s="57"/>
      <c r="IQ257" s="57"/>
      <c r="IR257" s="57"/>
      <c r="IS257" s="57"/>
      <c r="IT257" s="57"/>
      <c r="IU257" s="57"/>
    </row>
    <row r="258" spans="1:255" s="100" customFormat="1" ht="13.5" hidden="1">
      <c r="A258" s="13" t="s">
        <v>96</v>
      </c>
      <c r="B258" s="57" t="s">
        <v>71</v>
      </c>
      <c r="C258" s="821">
        <v>35100</v>
      </c>
      <c r="F258" s="137"/>
      <c r="G258" s="33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  <c r="FF258" s="57"/>
      <c r="FG258" s="57"/>
      <c r="FH258" s="57"/>
      <c r="FI258" s="57"/>
      <c r="FJ258" s="57"/>
      <c r="FK258" s="57"/>
      <c r="FL258" s="57"/>
      <c r="FM258" s="57"/>
      <c r="FN258" s="57"/>
      <c r="FO258" s="57"/>
      <c r="FP258" s="57"/>
      <c r="FQ258" s="57"/>
      <c r="FR258" s="57"/>
      <c r="FS258" s="57"/>
      <c r="FT258" s="57"/>
      <c r="FU258" s="57"/>
      <c r="FV258" s="57"/>
      <c r="FW258" s="57"/>
      <c r="FX258" s="57"/>
      <c r="FY258" s="57"/>
      <c r="FZ258" s="57"/>
      <c r="GA258" s="57"/>
      <c r="GB258" s="57"/>
      <c r="GC258" s="57"/>
      <c r="GD258" s="57"/>
      <c r="GE258" s="57"/>
      <c r="GF258" s="57"/>
      <c r="GG258" s="57"/>
      <c r="GH258" s="57"/>
      <c r="GI258" s="57"/>
      <c r="GJ258" s="57"/>
      <c r="GK258" s="57"/>
      <c r="GL258" s="57"/>
      <c r="GM258" s="57"/>
      <c r="GN258" s="57"/>
      <c r="GO258" s="57"/>
      <c r="GP258" s="57"/>
      <c r="GQ258" s="57"/>
      <c r="GR258" s="57"/>
      <c r="GS258" s="57"/>
      <c r="GT258" s="57"/>
      <c r="GU258" s="57"/>
      <c r="GV258" s="57"/>
      <c r="GW258" s="57"/>
      <c r="GX258" s="57"/>
      <c r="GY258" s="57"/>
      <c r="GZ258" s="57"/>
      <c r="HA258" s="57"/>
      <c r="HB258" s="57"/>
      <c r="HC258" s="57"/>
      <c r="HD258" s="57"/>
      <c r="HE258" s="57"/>
      <c r="HF258" s="57"/>
      <c r="HG258" s="57"/>
      <c r="HH258" s="57"/>
      <c r="HI258" s="57"/>
      <c r="HJ258" s="57"/>
      <c r="HK258" s="57"/>
      <c r="HL258" s="57"/>
      <c r="HM258" s="57"/>
      <c r="HN258" s="57"/>
      <c r="HO258" s="57"/>
      <c r="HP258" s="57"/>
      <c r="HQ258" s="57"/>
      <c r="HR258" s="57"/>
      <c r="HS258" s="57"/>
      <c r="HT258" s="57"/>
      <c r="HU258" s="57"/>
      <c r="HV258" s="57"/>
      <c r="HW258" s="57"/>
      <c r="HX258" s="57"/>
      <c r="HY258" s="57"/>
      <c r="HZ258" s="57"/>
      <c r="IA258" s="57"/>
      <c r="IB258" s="57"/>
      <c r="IC258" s="57"/>
      <c r="ID258" s="57"/>
      <c r="IE258" s="57"/>
      <c r="IF258" s="57"/>
      <c r="IG258" s="57"/>
      <c r="IH258" s="57"/>
      <c r="II258" s="57"/>
      <c r="IJ258" s="57"/>
      <c r="IK258" s="57"/>
      <c r="IL258" s="57"/>
      <c r="IM258" s="57"/>
      <c r="IN258" s="57"/>
      <c r="IO258" s="57"/>
      <c r="IP258" s="57"/>
      <c r="IQ258" s="57"/>
      <c r="IR258" s="57"/>
      <c r="IS258" s="57"/>
      <c r="IT258" s="57"/>
      <c r="IU258" s="57"/>
    </row>
    <row r="259" spans="1:255" s="100" customFormat="1" ht="13.5">
      <c r="A259" s="12" t="s">
        <v>117</v>
      </c>
      <c r="B259" s="791" t="s">
        <v>118</v>
      </c>
      <c r="C259" s="33">
        <f>SUM(C260)</f>
        <v>159300</v>
      </c>
      <c r="F259" s="137"/>
      <c r="G259" s="33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  <c r="EO259" s="57"/>
      <c r="EP259" s="57"/>
      <c r="EQ259" s="57"/>
      <c r="ER259" s="57"/>
      <c r="ES259" s="57"/>
      <c r="ET259" s="57"/>
      <c r="EU259" s="57"/>
      <c r="EV259" s="57"/>
      <c r="EW259" s="57"/>
      <c r="EX259" s="57"/>
      <c r="EY259" s="57"/>
      <c r="EZ259" s="57"/>
      <c r="FA259" s="57"/>
      <c r="FB259" s="57"/>
      <c r="FC259" s="57"/>
      <c r="FD259" s="57"/>
      <c r="FE259" s="57"/>
      <c r="FF259" s="57"/>
      <c r="FG259" s="57"/>
      <c r="FH259" s="57"/>
      <c r="FI259" s="57"/>
      <c r="FJ259" s="57"/>
      <c r="FK259" s="57"/>
      <c r="FL259" s="57"/>
      <c r="FM259" s="57"/>
      <c r="FN259" s="57"/>
      <c r="FO259" s="57"/>
      <c r="FP259" s="57"/>
      <c r="FQ259" s="57"/>
      <c r="FR259" s="57"/>
      <c r="FS259" s="57"/>
      <c r="FT259" s="57"/>
      <c r="FU259" s="57"/>
      <c r="FV259" s="57"/>
      <c r="FW259" s="57"/>
      <c r="FX259" s="57"/>
      <c r="FY259" s="57"/>
      <c r="FZ259" s="57"/>
      <c r="GA259" s="57"/>
      <c r="GB259" s="57"/>
      <c r="GC259" s="57"/>
      <c r="GD259" s="57"/>
      <c r="GE259" s="57"/>
      <c r="GF259" s="57"/>
      <c r="GG259" s="57"/>
      <c r="GH259" s="57"/>
      <c r="GI259" s="57"/>
      <c r="GJ259" s="57"/>
      <c r="GK259" s="57"/>
      <c r="GL259" s="57"/>
      <c r="GM259" s="57"/>
      <c r="GN259" s="57"/>
      <c r="GO259" s="57"/>
      <c r="GP259" s="57"/>
      <c r="GQ259" s="57"/>
      <c r="GR259" s="57"/>
      <c r="GS259" s="57"/>
      <c r="GT259" s="57"/>
      <c r="GU259" s="57"/>
      <c r="GV259" s="57"/>
      <c r="GW259" s="57"/>
      <c r="GX259" s="57"/>
      <c r="GY259" s="57"/>
      <c r="GZ259" s="57"/>
      <c r="HA259" s="57"/>
      <c r="HB259" s="57"/>
      <c r="HC259" s="57"/>
      <c r="HD259" s="57"/>
      <c r="HE259" s="57"/>
      <c r="HF259" s="57"/>
      <c r="HG259" s="57"/>
      <c r="HH259" s="57"/>
      <c r="HI259" s="57"/>
      <c r="HJ259" s="57"/>
      <c r="HK259" s="57"/>
      <c r="HL259" s="57"/>
      <c r="HM259" s="57"/>
      <c r="HN259" s="57"/>
      <c r="HO259" s="57"/>
      <c r="HP259" s="57"/>
      <c r="HQ259" s="57"/>
      <c r="HR259" s="57"/>
      <c r="HS259" s="57"/>
      <c r="HT259" s="57"/>
      <c r="HU259" s="57"/>
      <c r="HV259" s="57"/>
      <c r="HW259" s="57"/>
      <c r="HX259" s="57"/>
      <c r="HY259" s="57"/>
      <c r="HZ259" s="57"/>
      <c r="IA259" s="57"/>
      <c r="IB259" s="57"/>
      <c r="IC259" s="57"/>
      <c r="ID259" s="57"/>
      <c r="IE259" s="57"/>
      <c r="IF259" s="57"/>
      <c r="IG259" s="57"/>
      <c r="IH259" s="57"/>
      <c r="II259" s="57"/>
      <c r="IJ259" s="57"/>
      <c r="IK259" s="57"/>
      <c r="IL259" s="57"/>
      <c r="IM259" s="57"/>
      <c r="IN259" s="57"/>
      <c r="IO259" s="57"/>
      <c r="IP259" s="57"/>
      <c r="IQ259" s="57"/>
      <c r="IR259" s="57"/>
      <c r="IS259" s="57"/>
      <c r="IT259" s="57"/>
      <c r="IU259" s="57"/>
    </row>
    <row r="260" spans="1:255" s="57" customFormat="1" ht="13.5" customHeight="1" hidden="1">
      <c r="A260" s="13" t="s">
        <v>51</v>
      </c>
      <c r="B260" s="57" t="s">
        <v>52</v>
      </c>
      <c r="C260" s="822">
        <v>159300</v>
      </c>
      <c r="F260" s="87"/>
      <c r="G260" s="79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  <c r="EW260" s="100"/>
      <c r="EX260" s="100"/>
      <c r="EY260" s="100"/>
      <c r="EZ260" s="100"/>
      <c r="FA260" s="100"/>
      <c r="FB260" s="100"/>
      <c r="FC260" s="100"/>
      <c r="FD260" s="100"/>
      <c r="FE260" s="100"/>
      <c r="FF260" s="100"/>
      <c r="FG260" s="100"/>
      <c r="FH260" s="100"/>
      <c r="FI260" s="100"/>
      <c r="FJ260" s="100"/>
      <c r="FK260" s="100"/>
      <c r="FL260" s="100"/>
      <c r="FM260" s="100"/>
      <c r="FN260" s="100"/>
      <c r="FO260" s="100"/>
      <c r="FP260" s="100"/>
      <c r="FQ260" s="100"/>
      <c r="FR260" s="100"/>
      <c r="FS260" s="100"/>
      <c r="FT260" s="100"/>
      <c r="FU260" s="100"/>
      <c r="FV260" s="100"/>
      <c r="FW260" s="100"/>
      <c r="FX260" s="100"/>
      <c r="FY260" s="100"/>
      <c r="FZ260" s="100"/>
      <c r="GA260" s="100"/>
      <c r="GB260" s="100"/>
      <c r="GC260" s="100"/>
      <c r="GD260" s="100"/>
      <c r="GE260" s="100"/>
      <c r="GF260" s="100"/>
      <c r="GG260" s="100"/>
      <c r="GH260" s="100"/>
      <c r="GI260" s="100"/>
      <c r="GJ260" s="100"/>
      <c r="GK260" s="100"/>
      <c r="GL260" s="100"/>
      <c r="GM260" s="100"/>
      <c r="GN260" s="100"/>
      <c r="GO260" s="100"/>
      <c r="GP260" s="100"/>
      <c r="GQ260" s="100"/>
      <c r="GR260" s="100"/>
      <c r="GS260" s="100"/>
      <c r="GT260" s="100"/>
      <c r="GU260" s="100"/>
      <c r="GV260" s="100"/>
      <c r="GW260" s="100"/>
      <c r="GX260" s="100"/>
      <c r="GY260" s="100"/>
      <c r="GZ260" s="100"/>
      <c r="HA260" s="100"/>
      <c r="HB260" s="100"/>
      <c r="HC260" s="100"/>
      <c r="HD260" s="100"/>
      <c r="HE260" s="100"/>
      <c r="HF260" s="100"/>
      <c r="HG260" s="100"/>
      <c r="HH260" s="100"/>
      <c r="HI260" s="100"/>
      <c r="HJ260" s="100"/>
      <c r="HK260" s="100"/>
      <c r="HL260" s="100"/>
      <c r="HM260" s="100"/>
      <c r="HN260" s="100"/>
      <c r="HO260" s="100"/>
      <c r="HP260" s="100"/>
      <c r="HQ260" s="100"/>
      <c r="HR260" s="100"/>
      <c r="HS260" s="100"/>
      <c r="HT260" s="100"/>
      <c r="HU260" s="100"/>
      <c r="HV260" s="100"/>
      <c r="HW260" s="100"/>
      <c r="HX260" s="100"/>
      <c r="HY260" s="100"/>
      <c r="HZ260" s="100"/>
      <c r="IA260" s="100"/>
      <c r="IB260" s="100"/>
      <c r="IC260" s="100"/>
      <c r="ID260" s="100"/>
      <c r="IE260" s="100"/>
      <c r="IF260" s="100"/>
      <c r="IG260" s="100"/>
      <c r="IH260" s="100"/>
      <c r="II260" s="100"/>
      <c r="IJ260" s="100"/>
      <c r="IK260" s="100"/>
      <c r="IL260" s="100"/>
      <c r="IM260" s="100"/>
      <c r="IN260" s="100"/>
      <c r="IO260" s="100"/>
      <c r="IP260" s="100"/>
      <c r="IQ260" s="100"/>
      <c r="IR260" s="100"/>
      <c r="IS260" s="100"/>
      <c r="IT260" s="100"/>
      <c r="IU260" s="100"/>
    </row>
    <row r="261" spans="1:255" s="57" customFormat="1" ht="13.5" customHeight="1">
      <c r="A261" s="12" t="s">
        <v>219</v>
      </c>
      <c r="B261" s="26" t="s">
        <v>218</v>
      </c>
      <c r="C261" s="96">
        <f>SUM(C262:C263)</f>
        <v>158000</v>
      </c>
      <c r="F261" s="87"/>
      <c r="G261" s="79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0"/>
      <c r="FT261" s="100"/>
      <c r="FU261" s="100"/>
      <c r="FV261" s="100"/>
      <c r="FW261" s="100"/>
      <c r="FX261" s="100"/>
      <c r="FY261" s="100"/>
      <c r="FZ261" s="100"/>
      <c r="GA261" s="100"/>
      <c r="GB261" s="100"/>
      <c r="GC261" s="100"/>
      <c r="GD261" s="100"/>
      <c r="GE261" s="100"/>
      <c r="GF261" s="100"/>
      <c r="GG261" s="100"/>
      <c r="GH261" s="100"/>
      <c r="GI261" s="100"/>
      <c r="GJ261" s="100"/>
      <c r="GK261" s="100"/>
      <c r="GL261" s="100"/>
      <c r="GM261" s="100"/>
      <c r="GN261" s="100"/>
      <c r="GO261" s="100"/>
      <c r="GP261" s="100"/>
      <c r="GQ261" s="100"/>
      <c r="GR261" s="100"/>
      <c r="GS261" s="100"/>
      <c r="GT261" s="100"/>
      <c r="GU261" s="100"/>
      <c r="GV261" s="100"/>
      <c r="GW261" s="100"/>
      <c r="GX261" s="100"/>
      <c r="GY261" s="100"/>
      <c r="GZ261" s="100"/>
      <c r="HA261" s="100"/>
      <c r="HB261" s="100"/>
      <c r="HC261" s="100"/>
      <c r="HD261" s="100"/>
      <c r="HE261" s="100"/>
      <c r="HF261" s="100"/>
      <c r="HG261" s="100"/>
      <c r="HH261" s="100"/>
      <c r="HI261" s="100"/>
      <c r="HJ261" s="100"/>
      <c r="HK261" s="100"/>
      <c r="HL261" s="100"/>
      <c r="HM261" s="100"/>
      <c r="HN261" s="100"/>
      <c r="HO261" s="100"/>
      <c r="HP261" s="100"/>
      <c r="HQ261" s="100"/>
      <c r="HR261" s="100"/>
      <c r="HS261" s="100"/>
      <c r="HT261" s="100"/>
      <c r="HU261" s="100"/>
      <c r="HV261" s="100"/>
      <c r="HW261" s="100"/>
      <c r="HX261" s="100"/>
      <c r="HY261" s="100"/>
      <c r="HZ261" s="100"/>
      <c r="IA261" s="100"/>
      <c r="IB261" s="100"/>
      <c r="IC261" s="100"/>
      <c r="ID261" s="100"/>
      <c r="IE261" s="100"/>
      <c r="IF261" s="100"/>
      <c r="IG261" s="100"/>
      <c r="IH261" s="100"/>
      <c r="II261" s="100"/>
      <c r="IJ261" s="100"/>
      <c r="IK261" s="100"/>
      <c r="IL261" s="100"/>
      <c r="IM261" s="100"/>
      <c r="IN261" s="100"/>
      <c r="IO261" s="100"/>
      <c r="IP261" s="100"/>
      <c r="IQ261" s="100"/>
      <c r="IR261" s="100"/>
      <c r="IS261" s="100"/>
      <c r="IT261" s="100"/>
      <c r="IU261" s="100"/>
    </row>
    <row r="262" spans="1:255" s="57" customFormat="1" ht="13.5" customHeight="1" hidden="1">
      <c r="A262" s="13" t="s">
        <v>217</v>
      </c>
      <c r="B262" s="9" t="s">
        <v>252</v>
      </c>
      <c r="C262" s="822">
        <v>107000</v>
      </c>
      <c r="F262" s="87"/>
      <c r="G262" s="79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  <c r="GC262" s="100"/>
      <c r="GD262" s="100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  <c r="GP262" s="100"/>
      <c r="GQ262" s="100"/>
      <c r="GR262" s="100"/>
      <c r="GS262" s="100"/>
      <c r="GT262" s="100"/>
      <c r="GU262" s="100"/>
      <c r="GV262" s="100"/>
      <c r="GW262" s="100"/>
      <c r="GX262" s="100"/>
      <c r="GY262" s="100"/>
      <c r="GZ262" s="100"/>
      <c r="HA262" s="100"/>
      <c r="HB262" s="100"/>
      <c r="HC262" s="100"/>
      <c r="HD262" s="100"/>
      <c r="HE262" s="100"/>
      <c r="HF262" s="100"/>
      <c r="HG262" s="100"/>
      <c r="HH262" s="100"/>
      <c r="HI262" s="100"/>
      <c r="HJ262" s="100"/>
      <c r="HK262" s="100"/>
      <c r="HL262" s="100"/>
      <c r="HM262" s="100"/>
      <c r="HN262" s="100"/>
      <c r="HO262" s="100"/>
      <c r="HP262" s="100"/>
      <c r="HQ262" s="100"/>
      <c r="HR262" s="100"/>
      <c r="HS262" s="100"/>
      <c r="HT262" s="100"/>
      <c r="HU262" s="100"/>
      <c r="HV262" s="100"/>
      <c r="HW262" s="100"/>
      <c r="HX262" s="100"/>
      <c r="HY262" s="100"/>
      <c r="HZ262" s="100"/>
      <c r="IA262" s="100"/>
      <c r="IB262" s="100"/>
      <c r="IC262" s="100"/>
      <c r="ID262" s="100"/>
      <c r="IE262" s="100"/>
      <c r="IF262" s="100"/>
      <c r="IG262" s="100"/>
      <c r="IH262" s="100"/>
      <c r="II262" s="100"/>
      <c r="IJ262" s="100"/>
      <c r="IK262" s="100"/>
      <c r="IL262" s="100"/>
      <c r="IM262" s="100"/>
      <c r="IN262" s="100"/>
      <c r="IO262" s="100"/>
      <c r="IP262" s="100"/>
      <c r="IQ262" s="100"/>
      <c r="IR262" s="100"/>
      <c r="IS262" s="100"/>
      <c r="IT262" s="100"/>
      <c r="IU262" s="100"/>
    </row>
    <row r="263" spans="1:255" s="57" customFormat="1" ht="13.5" customHeight="1" hidden="1">
      <c r="A263" s="13" t="s">
        <v>251</v>
      </c>
      <c r="B263" s="9" t="s">
        <v>250</v>
      </c>
      <c r="C263" s="822">
        <v>51000</v>
      </c>
      <c r="F263" s="87"/>
      <c r="G263" s="79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0"/>
      <c r="FT263" s="100"/>
      <c r="FU263" s="100"/>
      <c r="FV263" s="100"/>
      <c r="FW263" s="100"/>
      <c r="FX263" s="100"/>
      <c r="FY263" s="100"/>
      <c r="FZ263" s="100"/>
      <c r="GA263" s="100"/>
      <c r="GB263" s="100"/>
      <c r="GC263" s="100"/>
      <c r="GD263" s="100"/>
      <c r="GE263" s="100"/>
      <c r="GF263" s="100"/>
      <c r="GG263" s="100"/>
      <c r="GH263" s="100"/>
      <c r="GI263" s="100"/>
      <c r="GJ263" s="100"/>
      <c r="GK263" s="100"/>
      <c r="GL263" s="100"/>
      <c r="GM263" s="100"/>
      <c r="GN263" s="100"/>
      <c r="GO263" s="100"/>
      <c r="GP263" s="100"/>
      <c r="GQ263" s="100"/>
      <c r="GR263" s="100"/>
      <c r="GS263" s="100"/>
      <c r="GT263" s="100"/>
      <c r="GU263" s="100"/>
      <c r="GV263" s="100"/>
      <c r="GW263" s="100"/>
      <c r="GX263" s="100"/>
      <c r="GY263" s="100"/>
      <c r="GZ263" s="100"/>
      <c r="HA263" s="100"/>
      <c r="HB263" s="100"/>
      <c r="HC263" s="100"/>
      <c r="HD263" s="100"/>
      <c r="HE263" s="100"/>
      <c r="HF263" s="100"/>
      <c r="HG263" s="100"/>
      <c r="HH263" s="100"/>
      <c r="HI263" s="100"/>
      <c r="HJ263" s="100"/>
      <c r="HK263" s="100"/>
      <c r="HL263" s="100"/>
      <c r="HM263" s="100"/>
      <c r="HN263" s="100"/>
      <c r="HO263" s="100"/>
      <c r="HP263" s="100"/>
      <c r="HQ263" s="100"/>
      <c r="HR263" s="100"/>
      <c r="HS263" s="100"/>
      <c r="HT263" s="100"/>
      <c r="HU263" s="100"/>
      <c r="HV263" s="100"/>
      <c r="HW263" s="100"/>
      <c r="HX263" s="100"/>
      <c r="HY263" s="100"/>
      <c r="HZ263" s="100"/>
      <c r="IA263" s="100"/>
      <c r="IB263" s="100"/>
      <c r="IC263" s="100"/>
      <c r="ID263" s="100"/>
      <c r="IE263" s="100"/>
      <c r="IF263" s="100"/>
      <c r="IG263" s="100"/>
      <c r="IH263" s="100"/>
      <c r="II263" s="100"/>
      <c r="IJ263" s="100"/>
      <c r="IK263" s="100"/>
      <c r="IL263" s="100"/>
      <c r="IM263" s="100"/>
      <c r="IN263" s="100"/>
      <c r="IO263" s="100"/>
      <c r="IP263" s="100"/>
      <c r="IQ263" s="100"/>
      <c r="IR263" s="100"/>
      <c r="IS263" s="100"/>
      <c r="IT263" s="100"/>
      <c r="IU263" s="100"/>
    </row>
    <row r="264" spans="1:255" s="57" customFormat="1" ht="13.5" customHeight="1">
      <c r="A264" s="12" t="s">
        <v>129</v>
      </c>
      <c r="B264" s="791" t="s">
        <v>119</v>
      </c>
      <c r="C264" s="96">
        <f>SUM(C265:C268)</f>
        <v>145450</v>
      </c>
      <c r="F264" s="87"/>
      <c r="G264" s="79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0"/>
      <c r="FT264" s="100"/>
      <c r="FU264" s="100"/>
      <c r="FV264" s="100"/>
      <c r="FW264" s="100"/>
      <c r="FX264" s="100"/>
      <c r="FY264" s="100"/>
      <c r="FZ264" s="100"/>
      <c r="GA264" s="100"/>
      <c r="GB264" s="100"/>
      <c r="GC264" s="100"/>
      <c r="GD264" s="100"/>
      <c r="GE264" s="100"/>
      <c r="GF264" s="100"/>
      <c r="GG264" s="100"/>
      <c r="GH264" s="100"/>
      <c r="GI264" s="100"/>
      <c r="GJ264" s="100"/>
      <c r="GK264" s="100"/>
      <c r="GL264" s="100"/>
      <c r="GM264" s="100"/>
      <c r="GN264" s="100"/>
      <c r="GO264" s="100"/>
      <c r="GP264" s="100"/>
      <c r="GQ264" s="100"/>
      <c r="GR264" s="100"/>
      <c r="GS264" s="100"/>
      <c r="GT264" s="100"/>
      <c r="GU264" s="100"/>
      <c r="GV264" s="100"/>
      <c r="GW264" s="100"/>
      <c r="GX264" s="100"/>
      <c r="GY264" s="100"/>
      <c r="GZ264" s="100"/>
      <c r="HA264" s="100"/>
      <c r="HB264" s="100"/>
      <c r="HC264" s="100"/>
      <c r="HD264" s="100"/>
      <c r="HE264" s="100"/>
      <c r="HF264" s="100"/>
      <c r="HG264" s="100"/>
      <c r="HH264" s="100"/>
      <c r="HI264" s="100"/>
      <c r="HJ264" s="100"/>
      <c r="HK264" s="100"/>
      <c r="HL264" s="100"/>
      <c r="HM264" s="100"/>
      <c r="HN264" s="100"/>
      <c r="HO264" s="100"/>
      <c r="HP264" s="100"/>
      <c r="HQ264" s="100"/>
      <c r="HR264" s="100"/>
      <c r="HS264" s="100"/>
      <c r="HT264" s="100"/>
      <c r="HU264" s="100"/>
      <c r="HV264" s="100"/>
      <c r="HW264" s="100"/>
      <c r="HX264" s="100"/>
      <c r="HY264" s="100"/>
      <c r="HZ264" s="100"/>
      <c r="IA264" s="100"/>
      <c r="IB264" s="100"/>
      <c r="IC264" s="100"/>
      <c r="ID264" s="100"/>
      <c r="IE264" s="100"/>
      <c r="IF264" s="100"/>
      <c r="IG264" s="100"/>
      <c r="IH264" s="100"/>
      <c r="II264" s="100"/>
      <c r="IJ264" s="100"/>
      <c r="IK264" s="100"/>
      <c r="IL264" s="100"/>
      <c r="IM264" s="100"/>
      <c r="IN264" s="100"/>
      <c r="IO264" s="100"/>
      <c r="IP264" s="100"/>
      <c r="IQ264" s="100"/>
      <c r="IR264" s="100"/>
      <c r="IS264" s="100"/>
      <c r="IT264" s="100"/>
      <c r="IU264" s="100"/>
    </row>
    <row r="265" spans="1:255" s="57" customFormat="1" ht="13.5" customHeight="1" hidden="1">
      <c r="A265" s="13" t="s">
        <v>214</v>
      </c>
      <c r="B265" s="57" t="s">
        <v>213</v>
      </c>
      <c r="C265" s="822">
        <v>20000</v>
      </c>
      <c r="F265" s="87"/>
      <c r="G265" s="79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0"/>
      <c r="FT265" s="100"/>
      <c r="FU265" s="100"/>
      <c r="FV265" s="100"/>
      <c r="FW265" s="100"/>
      <c r="FX265" s="100"/>
      <c r="FY265" s="100"/>
      <c r="FZ265" s="100"/>
      <c r="GA265" s="100"/>
      <c r="GB265" s="100"/>
      <c r="GC265" s="100"/>
      <c r="GD265" s="100"/>
      <c r="GE265" s="100"/>
      <c r="GF265" s="100"/>
      <c r="GG265" s="100"/>
      <c r="GH265" s="100"/>
      <c r="GI265" s="100"/>
      <c r="GJ265" s="100"/>
      <c r="GK265" s="100"/>
      <c r="GL265" s="100"/>
      <c r="GM265" s="100"/>
      <c r="GN265" s="100"/>
      <c r="GO265" s="100"/>
      <c r="GP265" s="100"/>
      <c r="GQ265" s="100"/>
      <c r="GR265" s="100"/>
      <c r="GS265" s="100"/>
      <c r="GT265" s="100"/>
      <c r="GU265" s="100"/>
      <c r="GV265" s="100"/>
      <c r="GW265" s="100"/>
      <c r="GX265" s="100"/>
      <c r="GY265" s="100"/>
      <c r="GZ265" s="100"/>
      <c r="HA265" s="100"/>
      <c r="HB265" s="100"/>
      <c r="HC265" s="100"/>
      <c r="HD265" s="100"/>
      <c r="HE265" s="100"/>
      <c r="HF265" s="100"/>
      <c r="HG265" s="100"/>
      <c r="HH265" s="100"/>
      <c r="HI265" s="100"/>
      <c r="HJ265" s="100"/>
      <c r="HK265" s="100"/>
      <c r="HL265" s="100"/>
      <c r="HM265" s="100"/>
      <c r="HN265" s="100"/>
      <c r="HO265" s="100"/>
      <c r="HP265" s="100"/>
      <c r="HQ265" s="100"/>
      <c r="HR265" s="100"/>
      <c r="HS265" s="100"/>
      <c r="HT265" s="100"/>
      <c r="HU265" s="100"/>
      <c r="HV265" s="100"/>
      <c r="HW265" s="100"/>
      <c r="HX265" s="100"/>
      <c r="HY265" s="100"/>
      <c r="HZ265" s="100"/>
      <c r="IA265" s="100"/>
      <c r="IB265" s="100"/>
      <c r="IC265" s="100"/>
      <c r="ID265" s="100"/>
      <c r="IE265" s="100"/>
      <c r="IF265" s="100"/>
      <c r="IG265" s="100"/>
      <c r="IH265" s="100"/>
      <c r="II265" s="100"/>
      <c r="IJ265" s="100"/>
      <c r="IK265" s="100"/>
      <c r="IL265" s="100"/>
      <c r="IM265" s="100"/>
      <c r="IN265" s="100"/>
      <c r="IO265" s="100"/>
      <c r="IP265" s="100"/>
      <c r="IQ265" s="100"/>
      <c r="IR265" s="100"/>
      <c r="IS265" s="100"/>
      <c r="IT265" s="100"/>
      <c r="IU265" s="100"/>
    </row>
    <row r="266" spans="1:255" s="57" customFormat="1" ht="13.5" customHeight="1" hidden="1">
      <c r="A266" s="13" t="s">
        <v>212</v>
      </c>
      <c r="B266" s="57" t="s">
        <v>211</v>
      </c>
      <c r="C266" s="822">
        <v>25000</v>
      </c>
      <c r="F266" s="87"/>
      <c r="G266" s="79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0"/>
      <c r="FT266" s="100"/>
      <c r="FU266" s="100"/>
      <c r="FV266" s="100"/>
      <c r="FW266" s="100"/>
      <c r="FX266" s="100"/>
      <c r="FY266" s="100"/>
      <c r="FZ266" s="100"/>
      <c r="GA266" s="100"/>
      <c r="GB266" s="100"/>
      <c r="GC266" s="100"/>
      <c r="GD266" s="100"/>
      <c r="GE266" s="100"/>
      <c r="GF266" s="100"/>
      <c r="GG266" s="100"/>
      <c r="GH266" s="100"/>
      <c r="GI266" s="100"/>
      <c r="GJ266" s="100"/>
      <c r="GK266" s="100"/>
      <c r="GL266" s="100"/>
      <c r="GM266" s="100"/>
      <c r="GN266" s="100"/>
      <c r="GO266" s="100"/>
      <c r="GP266" s="100"/>
      <c r="GQ266" s="100"/>
      <c r="GR266" s="100"/>
      <c r="GS266" s="100"/>
      <c r="GT266" s="100"/>
      <c r="GU266" s="100"/>
      <c r="GV266" s="100"/>
      <c r="GW266" s="100"/>
      <c r="GX266" s="100"/>
      <c r="GY266" s="100"/>
      <c r="GZ266" s="100"/>
      <c r="HA266" s="100"/>
      <c r="HB266" s="100"/>
      <c r="HC266" s="100"/>
      <c r="HD266" s="100"/>
      <c r="HE266" s="100"/>
      <c r="HF266" s="100"/>
      <c r="HG266" s="100"/>
      <c r="HH266" s="100"/>
      <c r="HI266" s="100"/>
      <c r="HJ266" s="100"/>
      <c r="HK266" s="100"/>
      <c r="HL266" s="100"/>
      <c r="HM266" s="100"/>
      <c r="HN266" s="100"/>
      <c r="HO266" s="100"/>
      <c r="HP266" s="100"/>
      <c r="HQ266" s="100"/>
      <c r="HR266" s="100"/>
      <c r="HS266" s="100"/>
      <c r="HT266" s="100"/>
      <c r="HU266" s="100"/>
      <c r="HV266" s="100"/>
      <c r="HW266" s="100"/>
      <c r="HX266" s="100"/>
      <c r="HY266" s="100"/>
      <c r="HZ266" s="100"/>
      <c r="IA266" s="100"/>
      <c r="IB266" s="100"/>
      <c r="IC266" s="100"/>
      <c r="ID266" s="100"/>
      <c r="IE266" s="100"/>
      <c r="IF266" s="100"/>
      <c r="IG266" s="100"/>
      <c r="IH266" s="100"/>
      <c r="II266" s="100"/>
      <c r="IJ266" s="100"/>
      <c r="IK266" s="100"/>
      <c r="IL266" s="100"/>
      <c r="IM266" s="100"/>
      <c r="IN266" s="100"/>
      <c r="IO266" s="100"/>
      <c r="IP266" s="100"/>
      <c r="IQ266" s="100"/>
      <c r="IR266" s="100"/>
      <c r="IS266" s="100"/>
      <c r="IT266" s="100"/>
      <c r="IU266" s="100"/>
    </row>
    <row r="267" spans="1:255" s="57" customFormat="1" ht="13.5" customHeight="1" hidden="1">
      <c r="A267" s="13" t="s">
        <v>210</v>
      </c>
      <c r="B267" s="57" t="s">
        <v>209</v>
      </c>
      <c r="C267" s="822">
        <v>5450</v>
      </c>
      <c r="F267" s="87"/>
      <c r="G267" s="79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  <c r="EN267" s="100"/>
      <c r="EO267" s="100"/>
      <c r="EP267" s="100"/>
      <c r="EQ267" s="100"/>
      <c r="ER267" s="100"/>
      <c r="ES267" s="100"/>
      <c r="ET267" s="100"/>
      <c r="EU267" s="100"/>
      <c r="EV267" s="100"/>
      <c r="EW267" s="100"/>
      <c r="EX267" s="100"/>
      <c r="EY267" s="100"/>
      <c r="EZ267" s="100"/>
      <c r="FA267" s="100"/>
      <c r="FB267" s="100"/>
      <c r="FC267" s="100"/>
      <c r="FD267" s="100"/>
      <c r="FE267" s="100"/>
      <c r="FF267" s="100"/>
      <c r="FG267" s="100"/>
      <c r="FH267" s="100"/>
      <c r="FI267" s="100"/>
      <c r="FJ267" s="100"/>
      <c r="FK267" s="100"/>
      <c r="FL267" s="100"/>
      <c r="FM267" s="100"/>
      <c r="FN267" s="100"/>
      <c r="FO267" s="100"/>
      <c r="FP267" s="100"/>
      <c r="FQ267" s="100"/>
      <c r="FR267" s="100"/>
      <c r="FS267" s="100"/>
      <c r="FT267" s="100"/>
      <c r="FU267" s="100"/>
      <c r="FV267" s="100"/>
      <c r="FW267" s="100"/>
      <c r="FX267" s="100"/>
      <c r="FY267" s="100"/>
      <c r="FZ267" s="100"/>
      <c r="GA267" s="100"/>
      <c r="GB267" s="100"/>
      <c r="GC267" s="100"/>
      <c r="GD267" s="100"/>
      <c r="GE267" s="100"/>
      <c r="GF267" s="100"/>
      <c r="GG267" s="100"/>
      <c r="GH267" s="100"/>
      <c r="GI267" s="100"/>
      <c r="GJ267" s="100"/>
      <c r="GK267" s="100"/>
      <c r="GL267" s="100"/>
      <c r="GM267" s="100"/>
      <c r="GN267" s="100"/>
      <c r="GO267" s="100"/>
      <c r="GP267" s="100"/>
      <c r="GQ267" s="100"/>
      <c r="GR267" s="100"/>
      <c r="GS267" s="100"/>
      <c r="GT267" s="100"/>
      <c r="GU267" s="100"/>
      <c r="GV267" s="100"/>
      <c r="GW267" s="100"/>
      <c r="GX267" s="100"/>
      <c r="GY267" s="100"/>
      <c r="GZ267" s="100"/>
      <c r="HA267" s="100"/>
      <c r="HB267" s="100"/>
      <c r="HC267" s="100"/>
      <c r="HD267" s="100"/>
      <c r="HE267" s="100"/>
      <c r="HF267" s="100"/>
      <c r="HG267" s="100"/>
      <c r="HH267" s="100"/>
      <c r="HI267" s="100"/>
      <c r="HJ267" s="100"/>
      <c r="HK267" s="100"/>
      <c r="HL267" s="100"/>
      <c r="HM267" s="100"/>
      <c r="HN267" s="100"/>
      <c r="HO267" s="100"/>
      <c r="HP267" s="100"/>
      <c r="HQ267" s="100"/>
      <c r="HR267" s="100"/>
      <c r="HS267" s="100"/>
      <c r="HT267" s="100"/>
      <c r="HU267" s="100"/>
      <c r="HV267" s="100"/>
      <c r="HW267" s="100"/>
      <c r="HX267" s="100"/>
      <c r="HY267" s="100"/>
      <c r="HZ267" s="100"/>
      <c r="IA267" s="100"/>
      <c r="IB267" s="100"/>
      <c r="IC267" s="100"/>
      <c r="ID267" s="100"/>
      <c r="IE267" s="100"/>
      <c r="IF267" s="100"/>
      <c r="IG267" s="100"/>
      <c r="IH267" s="100"/>
      <c r="II267" s="100"/>
      <c r="IJ267" s="100"/>
      <c r="IK267" s="100"/>
      <c r="IL267" s="100"/>
      <c r="IM267" s="100"/>
      <c r="IN267" s="100"/>
      <c r="IO267" s="100"/>
      <c r="IP267" s="100"/>
      <c r="IQ267" s="100"/>
      <c r="IR267" s="100"/>
      <c r="IS267" s="100"/>
      <c r="IT267" s="100"/>
      <c r="IU267" s="100"/>
    </row>
    <row r="268" spans="1:255" s="57" customFormat="1" ht="13.5" customHeight="1" hidden="1">
      <c r="A268" s="13" t="s">
        <v>1169</v>
      </c>
      <c r="B268" s="57" t="s">
        <v>1167</v>
      </c>
      <c r="C268" s="822">
        <v>95000</v>
      </c>
      <c r="F268" s="87"/>
      <c r="G268" s="79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  <c r="EN268" s="100"/>
      <c r="EO268" s="100"/>
      <c r="EP268" s="100"/>
      <c r="EQ268" s="100"/>
      <c r="ER268" s="100"/>
      <c r="ES268" s="100"/>
      <c r="ET268" s="100"/>
      <c r="EU268" s="100"/>
      <c r="EV268" s="100"/>
      <c r="EW268" s="100"/>
      <c r="EX268" s="100"/>
      <c r="EY268" s="100"/>
      <c r="EZ268" s="100"/>
      <c r="FA268" s="100"/>
      <c r="FB268" s="100"/>
      <c r="FC268" s="100"/>
      <c r="FD268" s="100"/>
      <c r="FE268" s="100"/>
      <c r="FF268" s="100"/>
      <c r="FG268" s="100"/>
      <c r="FH268" s="100"/>
      <c r="FI268" s="100"/>
      <c r="FJ268" s="100"/>
      <c r="FK268" s="100"/>
      <c r="FL268" s="100"/>
      <c r="FM268" s="100"/>
      <c r="FN268" s="100"/>
      <c r="FO268" s="100"/>
      <c r="FP268" s="100"/>
      <c r="FQ268" s="100"/>
      <c r="FR268" s="100"/>
      <c r="FS268" s="100"/>
      <c r="FT268" s="100"/>
      <c r="FU268" s="100"/>
      <c r="FV268" s="100"/>
      <c r="FW268" s="100"/>
      <c r="FX268" s="100"/>
      <c r="FY268" s="100"/>
      <c r="FZ268" s="100"/>
      <c r="GA268" s="100"/>
      <c r="GB268" s="100"/>
      <c r="GC268" s="100"/>
      <c r="GD268" s="100"/>
      <c r="GE268" s="100"/>
      <c r="GF268" s="100"/>
      <c r="GG268" s="100"/>
      <c r="GH268" s="100"/>
      <c r="GI268" s="100"/>
      <c r="GJ268" s="100"/>
      <c r="GK268" s="100"/>
      <c r="GL268" s="100"/>
      <c r="GM268" s="100"/>
      <c r="GN268" s="100"/>
      <c r="GO268" s="100"/>
      <c r="GP268" s="100"/>
      <c r="GQ268" s="100"/>
      <c r="GR268" s="100"/>
      <c r="GS268" s="100"/>
      <c r="GT268" s="100"/>
      <c r="GU268" s="100"/>
      <c r="GV268" s="100"/>
      <c r="GW268" s="100"/>
      <c r="GX268" s="100"/>
      <c r="GY268" s="100"/>
      <c r="GZ268" s="100"/>
      <c r="HA268" s="100"/>
      <c r="HB268" s="100"/>
      <c r="HC268" s="100"/>
      <c r="HD268" s="100"/>
      <c r="HE268" s="100"/>
      <c r="HF268" s="100"/>
      <c r="HG268" s="100"/>
      <c r="HH268" s="100"/>
      <c r="HI268" s="100"/>
      <c r="HJ268" s="100"/>
      <c r="HK268" s="100"/>
      <c r="HL268" s="100"/>
      <c r="HM268" s="100"/>
      <c r="HN268" s="100"/>
      <c r="HO268" s="100"/>
      <c r="HP268" s="100"/>
      <c r="HQ268" s="100"/>
      <c r="HR268" s="100"/>
      <c r="HS268" s="100"/>
      <c r="HT268" s="100"/>
      <c r="HU268" s="100"/>
      <c r="HV268" s="100"/>
      <c r="HW268" s="100"/>
      <c r="HX268" s="100"/>
      <c r="HY268" s="100"/>
      <c r="HZ268" s="100"/>
      <c r="IA268" s="100"/>
      <c r="IB268" s="100"/>
      <c r="IC268" s="100"/>
      <c r="ID268" s="100"/>
      <c r="IE268" s="100"/>
      <c r="IF268" s="100"/>
      <c r="IG268" s="100"/>
      <c r="IH268" s="100"/>
      <c r="II268" s="100"/>
      <c r="IJ268" s="100"/>
      <c r="IK268" s="100"/>
      <c r="IL268" s="100"/>
      <c r="IM268" s="100"/>
      <c r="IN268" s="100"/>
      <c r="IO268" s="100"/>
      <c r="IP268" s="100"/>
      <c r="IQ268" s="100"/>
      <c r="IR268" s="100"/>
      <c r="IS268" s="100"/>
      <c r="IT268" s="100"/>
      <c r="IU268" s="100"/>
    </row>
    <row r="269" spans="1:255" s="57" customFormat="1" ht="13.5" customHeight="1">
      <c r="A269" s="353" t="s">
        <v>134</v>
      </c>
      <c r="B269" s="791" t="s">
        <v>133</v>
      </c>
      <c r="C269" s="96">
        <f>SUM(C270:C271)</f>
        <v>61750</v>
      </c>
      <c r="G269" s="79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  <c r="EN269" s="100"/>
      <c r="EO269" s="100"/>
      <c r="EP269" s="100"/>
      <c r="EQ269" s="100"/>
      <c r="ER269" s="100"/>
      <c r="ES269" s="100"/>
      <c r="ET269" s="100"/>
      <c r="EU269" s="100"/>
      <c r="EV269" s="100"/>
      <c r="EW269" s="100"/>
      <c r="EX269" s="100"/>
      <c r="EY269" s="100"/>
      <c r="EZ269" s="100"/>
      <c r="FA269" s="100"/>
      <c r="FB269" s="100"/>
      <c r="FC269" s="100"/>
      <c r="FD269" s="100"/>
      <c r="FE269" s="100"/>
      <c r="FF269" s="100"/>
      <c r="FG269" s="100"/>
      <c r="FH269" s="100"/>
      <c r="FI269" s="100"/>
      <c r="FJ269" s="100"/>
      <c r="FK269" s="100"/>
      <c r="FL269" s="100"/>
      <c r="FM269" s="100"/>
      <c r="FN269" s="100"/>
      <c r="FO269" s="100"/>
      <c r="FP269" s="100"/>
      <c r="FQ269" s="100"/>
      <c r="FR269" s="100"/>
      <c r="FS269" s="100"/>
      <c r="FT269" s="100"/>
      <c r="FU269" s="100"/>
      <c r="FV269" s="100"/>
      <c r="FW269" s="100"/>
      <c r="FX269" s="100"/>
      <c r="FY269" s="100"/>
      <c r="FZ269" s="100"/>
      <c r="GA269" s="100"/>
      <c r="GB269" s="100"/>
      <c r="GC269" s="100"/>
      <c r="GD269" s="100"/>
      <c r="GE269" s="100"/>
      <c r="GF269" s="100"/>
      <c r="GG269" s="100"/>
      <c r="GH269" s="100"/>
      <c r="GI269" s="100"/>
      <c r="GJ269" s="100"/>
      <c r="GK269" s="100"/>
      <c r="GL269" s="100"/>
      <c r="GM269" s="100"/>
      <c r="GN269" s="100"/>
      <c r="GO269" s="100"/>
      <c r="GP269" s="100"/>
      <c r="GQ269" s="100"/>
      <c r="GR269" s="100"/>
      <c r="GS269" s="100"/>
      <c r="GT269" s="100"/>
      <c r="GU269" s="100"/>
      <c r="GV269" s="100"/>
      <c r="GW269" s="100"/>
      <c r="GX269" s="100"/>
      <c r="GY269" s="100"/>
      <c r="GZ269" s="100"/>
      <c r="HA269" s="100"/>
      <c r="HB269" s="100"/>
      <c r="HC269" s="100"/>
      <c r="HD269" s="100"/>
      <c r="HE269" s="100"/>
      <c r="HF269" s="100"/>
      <c r="HG269" s="100"/>
      <c r="HH269" s="100"/>
      <c r="HI269" s="100"/>
      <c r="HJ269" s="100"/>
      <c r="HK269" s="100"/>
      <c r="HL269" s="100"/>
      <c r="HM269" s="100"/>
      <c r="HN269" s="100"/>
      <c r="HO269" s="100"/>
      <c r="HP269" s="100"/>
      <c r="HQ269" s="100"/>
      <c r="HR269" s="100"/>
      <c r="HS269" s="100"/>
      <c r="HT269" s="100"/>
      <c r="HU269" s="100"/>
      <c r="HV269" s="100"/>
      <c r="HW269" s="100"/>
      <c r="HX269" s="100"/>
      <c r="HY269" s="100"/>
      <c r="HZ269" s="100"/>
      <c r="IA269" s="100"/>
      <c r="IB269" s="100"/>
      <c r="IC269" s="100"/>
      <c r="ID269" s="100"/>
      <c r="IE269" s="100"/>
      <c r="IF269" s="100"/>
      <c r="IG269" s="100"/>
      <c r="IH269" s="100"/>
      <c r="II269" s="100"/>
      <c r="IJ269" s="100"/>
      <c r="IK269" s="100"/>
      <c r="IL269" s="100"/>
      <c r="IM269" s="100"/>
      <c r="IN269" s="100"/>
      <c r="IO269" s="100"/>
      <c r="IP269" s="100"/>
      <c r="IQ269" s="100"/>
      <c r="IR269" s="100"/>
      <c r="IS269" s="100"/>
      <c r="IT269" s="100"/>
      <c r="IU269" s="100"/>
    </row>
    <row r="270" spans="1:255" s="57" customFormat="1" ht="13.5" customHeight="1" hidden="1">
      <c r="A270" s="13" t="s">
        <v>277</v>
      </c>
      <c r="B270" s="57" t="s">
        <v>276</v>
      </c>
      <c r="C270" s="822">
        <v>36750</v>
      </c>
      <c r="F270" s="87"/>
      <c r="G270" s="79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  <c r="EN270" s="100"/>
      <c r="EO270" s="100"/>
      <c r="EP270" s="100"/>
      <c r="EQ270" s="100"/>
      <c r="ER270" s="100"/>
      <c r="ES270" s="100"/>
      <c r="ET270" s="100"/>
      <c r="EU270" s="100"/>
      <c r="EV270" s="100"/>
      <c r="EW270" s="100"/>
      <c r="EX270" s="100"/>
      <c r="EY270" s="100"/>
      <c r="EZ270" s="100"/>
      <c r="FA270" s="100"/>
      <c r="FB270" s="100"/>
      <c r="FC270" s="100"/>
      <c r="FD270" s="100"/>
      <c r="FE270" s="100"/>
      <c r="FF270" s="100"/>
      <c r="FG270" s="100"/>
      <c r="FH270" s="100"/>
      <c r="FI270" s="100"/>
      <c r="FJ270" s="100"/>
      <c r="FK270" s="100"/>
      <c r="FL270" s="100"/>
      <c r="FM270" s="100"/>
      <c r="FN270" s="100"/>
      <c r="FO270" s="100"/>
      <c r="FP270" s="100"/>
      <c r="FQ270" s="100"/>
      <c r="FR270" s="100"/>
      <c r="FS270" s="100"/>
      <c r="FT270" s="100"/>
      <c r="FU270" s="100"/>
      <c r="FV270" s="100"/>
      <c r="FW270" s="100"/>
      <c r="FX270" s="100"/>
      <c r="FY270" s="100"/>
      <c r="FZ270" s="100"/>
      <c r="GA270" s="100"/>
      <c r="GB270" s="100"/>
      <c r="GC270" s="100"/>
      <c r="GD270" s="100"/>
      <c r="GE270" s="100"/>
      <c r="GF270" s="100"/>
      <c r="GG270" s="100"/>
      <c r="GH270" s="100"/>
      <c r="GI270" s="100"/>
      <c r="GJ270" s="100"/>
      <c r="GK270" s="100"/>
      <c r="GL270" s="100"/>
      <c r="GM270" s="100"/>
      <c r="GN270" s="100"/>
      <c r="GO270" s="100"/>
      <c r="GP270" s="100"/>
      <c r="GQ270" s="100"/>
      <c r="GR270" s="100"/>
      <c r="GS270" s="100"/>
      <c r="GT270" s="100"/>
      <c r="GU270" s="100"/>
      <c r="GV270" s="100"/>
      <c r="GW270" s="100"/>
      <c r="GX270" s="100"/>
      <c r="GY270" s="100"/>
      <c r="GZ270" s="100"/>
      <c r="HA270" s="100"/>
      <c r="HB270" s="100"/>
      <c r="HC270" s="100"/>
      <c r="HD270" s="100"/>
      <c r="HE270" s="100"/>
      <c r="HF270" s="100"/>
      <c r="HG270" s="100"/>
      <c r="HH270" s="100"/>
      <c r="HI270" s="100"/>
      <c r="HJ270" s="100"/>
      <c r="HK270" s="100"/>
      <c r="HL270" s="100"/>
      <c r="HM270" s="100"/>
      <c r="HN270" s="100"/>
      <c r="HO270" s="100"/>
      <c r="HP270" s="100"/>
      <c r="HQ270" s="100"/>
      <c r="HR270" s="100"/>
      <c r="HS270" s="100"/>
      <c r="HT270" s="100"/>
      <c r="HU270" s="100"/>
      <c r="HV270" s="100"/>
      <c r="HW270" s="100"/>
      <c r="HX270" s="100"/>
      <c r="HY270" s="100"/>
      <c r="HZ270" s="100"/>
      <c r="IA270" s="100"/>
      <c r="IB270" s="100"/>
      <c r="IC270" s="100"/>
      <c r="ID270" s="100"/>
      <c r="IE270" s="100"/>
      <c r="IF270" s="100"/>
      <c r="IG270" s="100"/>
      <c r="IH270" s="100"/>
      <c r="II270" s="100"/>
      <c r="IJ270" s="100"/>
      <c r="IK270" s="100"/>
      <c r="IL270" s="100"/>
      <c r="IM270" s="100"/>
      <c r="IN270" s="100"/>
      <c r="IO270" s="100"/>
      <c r="IP270" s="100"/>
      <c r="IQ270" s="100"/>
      <c r="IR270" s="100"/>
      <c r="IS270" s="100"/>
      <c r="IT270" s="100"/>
      <c r="IU270" s="100"/>
    </row>
    <row r="271" spans="1:255" s="57" customFormat="1" ht="13.5" customHeight="1" hidden="1">
      <c r="A271" s="13" t="s">
        <v>103</v>
      </c>
      <c r="B271" s="57" t="s">
        <v>78</v>
      </c>
      <c r="C271" s="822">
        <v>25000</v>
      </c>
      <c r="E271" s="102"/>
      <c r="F271" s="140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0"/>
      <c r="ES271" s="100"/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0"/>
      <c r="FF271" s="100"/>
      <c r="FG271" s="100"/>
      <c r="FH271" s="100"/>
      <c r="FI271" s="100"/>
      <c r="FJ271" s="100"/>
      <c r="FK271" s="100"/>
      <c r="FL271" s="100"/>
      <c r="FM271" s="100"/>
      <c r="FN271" s="100"/>
      <c r="FO271" s="100"/>
      <c r="FP271" s="100"/>
      <c r="FQ271" s="100"/>
      <c r="FR271" s="100"/>
      <c r="FS271" s="100"/>
      <c r="FT271" s="100"/>
      <c r="FU271" s="100"/>
      <c r="FV271" s="100"/>
      <c r="FW271" s="100"/>
      <c r="FX271" s="100"/>
      <c r="FY271" s="100"/>
      <c r="FZ271" s="100"/>
      <c r="GA271" s="100"/>
      <c r="GB271" s="100"/>
      <c r="GC271" s="100"/>
      <c r="GD271" s="100"/>
      <c r="GE271" s="100"/>
      <c r="GF271" s="100"/>
      <c r="GG271" s="100"/>
      <c r="GH271" s="100"/>
      <c r="GI271" s="100"/>
      <c r="GJ271" s="100"/>
      <c r="GK271" s="100"/>
      <c r="GL271" s="100"/>
      <c r="GM271" s="100"/>
      <c r="GN271" s="100"/>
      <c r="GO271" s="100"/>
      <c r="GP271" s="100"/>
      <c r="GQ271" s="100"/>
      <c r="GR271" s="100"/>
      <c r="GS271" s="100"/>
      <c r="GT271" s="100"/>
      <c r="GU271" s="100"/>
      <c r="GV271" s="100"/>
      <c r="GW271" s="100"/>
      <c r="GX271" s="100"/>
      <c r="GY271" s="100"/>
      <c r="GZ271" s="100"/>
      <c r="HA271" s="100"/>
      <c r="HB271" s="100"/>
      <c r="HC271" s="100"/>
      <c r="HD271" s="100"/>
      <c r="HE271" s="100"/>
      <c r="HF271" s="100"/>
      <c r="HG271" s="100"/>
      <c r="HH271" s="100"/>
      <c r="HI271" s="100"/>
      <c r="HJ271" s="100"/>
      <c r="HK271" s="100"/>
      <c r="HL271" s="100"/>
      <c r="HM271" s="100"/>
      <c r="HN271" s="100"/>
      <c r="HO271" s="100"/>
      <c r="HP271" s="100"/>
      <c r="HQ271" s="100"/>
      <c r="HR271" s="100"/>
      <c r="HS271" s="100"/>
      <c r="HT271" s="100"/>
      <c r="HU271" s="100"/>
      <c r="HV271" s="100"/>
      <c r="HW271" s="100"/>
      <c r="HX271" s="100"/>
      <c r="HY271" s="100"/>
      <c r="HZ271" s="100"/>
      <c r="IA271" s="100"/>
      <c r="IB271" s="100"/>
      <c r="IC271" s="100"/>
      <c r="ID271" s="100"/>
      <c r="IE271" s="100"/>
      <c r="IF271" s="100"/>
      <c r="IG271" s="100"/>
      <c r="IH271" s="100"/>
      <c r="II271" s="100"/>
      <c r="IJ271" s="100"/>
      <c r="IK271" s="100"/>
      <c r="IL271" s="100"/>
      <c r="IM271" s="100"/>
      <c r="IN271" s="100"/>
      <c r="IO271" s="100"/>
      <c r="IP271" s="100"/>
      <c r="IQ271" s="100"/>
      <c r="IR271" s="100"/>
      <c r="IS271" s="100"/>
      <c r="IT271" s="100"/>
      <c r="IU271" s="100"/>
    </row>
    <row r="272" spans="1:255" s="57" customFormat="1" ht="13.5" customHeight="1">
      <c r="A272" s="353" t="s">
        <v>169</v>
      </c>
      <c r="B272" s="26" t="s">
        <v>144</v>
      </c>
      <c r="C272" s="96">
        <f>SUM(C273:C275)</f>
        <v>89750</v>
      </c>
      <c r="D272" s="102"/>
      <c r="E272" s="102"/>
      <c r="F272" s="140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  <c r="EN272" s="100"/>
      <c r="EO272" s="100"/>
      <c r="EP272" s="100"/>
      <c r="EQ272" s="100"/>
      <c r="ER272" s="100"/>
      <c r="ES272" s="100"/>
      <c r="ET272" s="100"/>
      <c r="EU272" s="100"/>
      <c r="EV272" s="100"/>
      <c r="EW272" s="100"/>
      <c r="EX272" s="100"/>
      <c r="EY272" s="100"/>
      <c r="EZ272" s="100"/>
      <c r="FA272" s="100"/>
      <c r="FB272" s="100"/>
      <c r="FC272" s="100"/>
      <c r="FD272" s="100"/>
      <c r="FE272" s="100"/>
      <c r="FF272" s="100"/>
      <c r="FG272" s="100"/>
      <c r="FH272" s="100"/>
      <c r="FI272" s="100"/>
      <c r="FJ272" s="100"/>
      <c r="FK272" s="100"/>
      <c r="FL272" s="100"/>
      <c r="FM272" s="100"/>
      <c r="FN272" s="100"/>
      <c r="FO272" s="100"/>
      <c r="FP272" s="100"/>
      <c r="FQ272" s="100"/>
      <c r="FR272" s="100"/>
      <c r="FS272" s="100"/>
      <c r="FT272" s="100"/>
      <c r="FU272" s="100"/>
      <c r="FV272" s="100"/>
      <c r="FW272" s="100"/>
      <c r="FX272" s="100"/>
      <c r="FY272" s="100"/>
      <c r="FZ272" s="100"/>
      <c r="GA272" s="100"/>
      <c r="GB272" s="100"/>
      <c r="GC272" s="100"/>
      <c r="GD272" s="100"/>
      <c r="GE272" s="100"/>
      <c r="GF272" s="100"/>
      <c r="GG272" s="100"/>
      <c r="GH272" s="100"/>
      <c r="GI272" s="100"/>
      <c r="GJ272" s="100"/>
      <c r="GK272" s="100"/>
      <c r="GL272" s="100"/>
      <c r="GM272" s="100"/>
      <c r="GN272" s="100"/>
      <c r="GO272" s="100"/>
      <c r="GP272" s="100"/>
      <c r="GQ272" s="100"/>
      <c r="GR272" s="100"/>
      <c r="GS272" s="100"/>
      <c r="GT272" s="100"/>
      <c r="GU272" s="100"/>
      <c r="GV272" s="100"/>
      <c r="GW272" s="100"/>
      <c r="GX272" s="100"/>
      <c r="GY272" s="100"/>
      <c r="GZ272" s="100"/>
      <c r="HA272" s="100"/>
      <c r="HB272" s="100"/>
      <c r="HC272" s="100"/>
      <c r="HD272" s="100"/>
      <c r="HE272" s="100"/>
      <c r="HF272" s="100"/>
      <c r="HG272" s="100"/>
      <c r="HH272" s="100"/>
      <c r="HI272" s="100"/>
      <c r="HJ272" s="100"/>
      <c r="HK272" s="100"/>
      <c r="HL272" s="100"/>
      <c r="HM272" s="100"/>
      <c r="HN272" s="100"/>
      <c r="HO272" s="100"/>
      <c r="HP272" s="100"/>
      <c r="HQ272" s="100"/>
      <c r="HR272" s="100"/>
      <c r="HS272" s="100"/>
      <c r="HT272" s="100"/>
      <c r="HU272" s="100"/>
      <c r="HV272" s="100"/>
      <c r="HW272" s="100"/>
      <c r="HX272" s="100"/>
      <c r="HY272" s="100"/>
      <c r="HZ272" s="100"/>
      <c r="IA272" s="100"/>
      <c r="IB272" s="100"/>
      <c r="IC272" s="100"/>
      <c r="ID272" s="100"/>
      <c r="IE272" s="100"/>
      <c r="IF272" s="100"/>
      <c r="IG272" s="100"/>
      <c r="IH272" s="100"/>
      <c r="II272" s="100"/>
      <c r="IJ272" s="100"/>
      <c r="IK272" s="100"/>
      <c r="IL272" s="100"/>
      <c r="IM272" s="100"/>
      <c r="IN272" s="100"/>
      <c r="IO272" s="100"/>
      <c r="IP272" s="100"/>
      <c r="IQ272" s="100"/>
      <c r="IR272" s="100"/>
      <c r="IS272" s="100"/>
      <c r="IT272" s="100"/>
      <c r="IU272" s="100"/>
    </row>
    <row r="273" spans="1:18" s="100" customFormat="1" ht="13.5" hidden="1">
      <c r="A273" s="13" t="s">
        <v>170</v>
      </c>
      <c r="B273" s="57" t="s">
        <v>70</v>
      </c>
      <c r="C273" s="822">
        <v>47400</v>
      </c>
      <c r="D273" s="101"/>
      <c r="E273" s="102"/>
      <c r="F273" s="140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1:18" s="100" customFormat="1" ht="13.5" hidden="1">
      <c r="A274" s="13" t="s">
        <v>171</v>
      </c>
      <c r="B274" s="57" t="s">
        <v>75</v>
      </c>
      <c r="C274" s="822">
        <v>14350</v>
      </c>
      <c r="D274" s="102"/>
      <c r="E274" s="102"/>
      <c r="F274" s="140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1:18" s="100" customFormat="1" ht="13.5" hidden="1">
      <c r="A275" s="13" t="s">
        <v>172</v>
      </c>
      <c r="B275" s="57" t="s">
        <v>135</v>
      </c>
      <c r="C275" s="822">
        <v>28000</v>
      </c>
      <c r="D275" s="101"/>
      <c r="E275" s="102"/>
      <c r="F275" s="140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1:18" s="100" customFormat="1" ht="14.25" thickBot="1">
      <c r="A276" s="13"/>
      <c r="B276" s="57"/>
      <c r="C276" s="87"/>
      <c r="D276" s="101"/>
      <c r="E276" s="102"/>
      <c r="F276" s="140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1:18" s="100" customFormat="1" ht="14.25" thickBot="1">
      <c r="A277" s="957" t="s">
        <v>3</v>
      </c>
      <c r="B277" s="958"/>
      <c r="C277" s="98">
        <f>C278+C281+C284+C287+C289</f>
        <v>3047000</v>
      </c>
      <c r="D277" s="102"/>
      <c r="E277" s="102"/>
      <c r="F277" s="140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1:6" s="323" customFormat="1" ht="13.5">
      <c r="A278" s="95" t="s">
        <v>120</v>
      </c>
      <c r="B278" s="404" t="s">
        <v>121</v>
      </c>
      <c r="C278" s="816">
        <f>SUM(C279:C280)</f>
        <v>240450</v>
      </c>
      <c r="D278" s="135"/>
      <c r="E278" s="135"/>
      <c r="F278" s="140"/>
    </row>
    <row r="279" spans="1:255" s="78" customFormat="1" ht="13.5" hidden="1">
      <c r="A279" s="86" t="s">
        <v>179</v>
      </c>
      <c r="B279" s="142" t="s">
        <v>357</v>
      </c>
      <c r="C279" s="822">
        <f>235500-10000</f>
        <v>225500</v>
      </c>
      <c r="D279" s="101"/>
      <c r="E279" s="102"/>
      <c r="F279" s="14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  <c r="EO279" s="100"/>
      <c r="EP279" s="100"/>
      <c r="EQ279" s="100"/>
      <c r="ER279" s="100"/>
      <c r="ES279" s="100"/>
      <c r="ET279" s="100"/>
      <c r="EU279" s="100"/>
      <c r="EV279" s="100"/>
      <c r="EW279" s="100"/>
      <c r="EX279" s="100"/>
      <c r="EY279" s="100"/>
      <c r="EZ279" s="100"/>
      <c r="FA279" s="100"/>
      <c r="FB279" s="100"/>
      <c r="FC279" s="100"/>
      <c r="FD279" s="100"/>
      <c r="FE279" s="100"/>
      <c r="FF279" s="100"/>
      <c r="FG279" s="100"/>
      <c r="FH279" s="100"/>
      <c r="FI279" s="100"/>
      <c r="FJ279" s="100"/>
      <c r="FK279" s="100"/>
      <c r="FL279" s="100"/>
      <c r="FM279" s="100"/>
      <c r="FN279" s="100"/>
      <c r="FO279" s="100"/>
      <c r="FP279" s="100"/>
      <c r="FQ279" s="100"/>
      <c r="FR279" s="100"/>
      <c r="FS279" s="100"/>
      <c r="FT279" s="100"/>
      <c r="FU279" s="100"/>
      <c r="FV279" s="100"/>
      <c r="FW279" s="100"/>
      <c r="FX279" s="100"/>
      <c r="FY279" s="100"/>
      <c r="FZ279" s="100"/>
      <c r="GA279" s="100"/>
      <c r="GB279" s="100"/>
      <c r="GC279" s="100"/>
      <c r="GD279" s="100"/>
      <c r="GE279" s="100"/>
      <c r="GF279" s="100"/>
      <c r="GG279" s="100"/>
      <c r="GH279" s="100"/>
      <c r="GI279" s="100"/>
      <c r="GJ279" s="100"/>
      <c r="GK279" s="100"/>
      <c r="GL279" s="100"/>
      <c r="GM279" s="100"/>
      <c r="GN279" s="100"/>
      <c r="GO279" s="100"/>
      <c r="GP279" s="100"/>
      <c r="GQ279" s="100"/>
      <c r="GR279" s="100"/>
      <c r="GS279" s="100"/>
      <c r="GT279" s="100"/>
      <c r="GU279" s="100"/>
      <c r="GV279" s="100"/>
      <c r="GW279" s="100"/>
      <c r="GX279" s="100"/>
      <c r="GY279" s="100"/>
      <c r="GZ279" s="100"/>
      <c r="HA279" s="100"/>
      <c r="HB279" s="100"/>
      <c r="HC279" s="100"/>
      <c r="HD279" s="100"/>
      <c r="HE279" s="100"/>
      <c r="HF279" s="100"/>
      <c r="HG279" s="100"/>
      <c r="HH279" s="100"/>
      <c r="HI279" s="100"/>
      <c r="HJ279" s="100"/>
      <c r="HK279" s="100"/>
      <c r="HL279" s="100"/>
      <c r="HM279" s="100"/>
      <c r="HN279" s="100"/>
      <c r="HO279" s="100"/>
      <c r="HP279" s="100"/>
      <c r="HQ279" s="100"/>
      <c r="HR279" s="100"/>
      <c r="HS279" s="100"/>
      <c r="HT279" s="100"/>
      <c r="HU279" s="100"/>
      <c r="HV279" s="100"/>
      <c r="HW279" s="100"/>
      <c r="HX279" s="100"/>
      <c r="HY279" s="100"/>
      <c r="HZ279" s="100"/>
      <c r="IA279" s="100"/>
      <c r="IB279" s="100"/>
      <c r="IC279" s="100"/>
      <c r="ID279" s="100"/>
      <c r="IE279" s="100"/>
      <c r="IF279" s="100"/>
      <c r="IG279" s="100"/>
      <c r="IH279" s="100"/>
      <c r="II279" s="100"/>
      <c r="IJ279" s="100"/>
      <c r="IK279" s="100"/>
      <c r="IL279" s="100"/>
      <c r="IM279" s="100"/>
      <c r="IN279" s="100"/>
      <c r="IO279" s="100"/>
      <c r="IP279" s="100"/>
      <c r="IQ279" s="100"/>
      <c r="IR279" s="100"/>
      <c r="IS279" s="100"/>
      <c r="IT279" s="100"/>
      <c r="IU279" s="100"/>
    </row>
    <row r="280" spans="1:6" s="78" customFormat="1" ht="13.5" hidden="1">
      <c r="A280" s="86" t="s">
        <v>57</v>
      </c>
      <c r="B280" s="57" t="s">
        <v>208</v>
      </c>
      <c r="C280" s="822">
        <v>14950</v>
      </c>
      <c r="D280" s="87"/>
      <c r="E280" s="79"/>
      <c r="F280" s="140"/>
    </row>
    <row r="281" spans="1:18" s="9" customFormat="1" ht="13.5" customHeight="1">
      <c r="A281" s="95" t="s">
        <v>130</v>
      </c>
      <c r="B281" s="95" t="s">
        <v>131</v>
      </c>
      <c r="C281" s="33">
        <f>SUM(C282:C283)</f>
        <v>15550</v>
      </c>
      <c r="D281" s="124"/>
      <c r="E281" s="26"/>
      <c r="F281" s="140"/>
      <c r="G281" s="71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</row>
    <row r="282" spans="1:18" s="9" customFormat="1" ht="13.5" customHeight="1" hidden="1">
      <c r="A282" s="86" t="s">
        <v>300</v>
      </c>
      <c r="B282" s="57" t="s">
        <v>301</v>
      </c>
      <c r="C282" s="821">
        <v>4550</v>
      </c>
      <c r="D282" s="124"/>
      <c r="E282" s="26"/>
      <c r="F282" s="140"/>
      <c r="G282" s="71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</row>
    <row r="283" spans="1:18" s="9" customFormat="1" ht="13.5" customHeight="1" hidden="1">
      <c r="A283" s="86" t="s">
        <v>148</v>
      </c>
      <c r="B283" s="86" t="s">
        <v>77</v>
      </c>
      <c r="C283" s="821">
        <v>11000</v>
      </c>
      <c r="D283" s="115"/>
      <c r="E283" s="26"/>
      <c r="F283" s="140"/>
      <c r="G283" s="71"/>
      <c r="H283" s="71"/>
      <c r="I283" s="57"/>
      <c r="J283" s="57"/>
      <c r="K283" s="57"/>
      <c r="L283" s="57"/>
      <c r="M283" s="57"/>
      <c r="N283" s="57"/>
      <c r="O283" s="57"/>
      <c r="P283" s="57"/>
      <c r="Q283" s="57"/>
      <c r="R283" s="57"/>
    </row>
    <row r="284" spans="1:6" s="78" customFormat="1" ht="13.5">
      <c r="A284" s="12" t="s">
        <v>122</v>
      </c>
      <c r="B284" s="95" t="s">
        <v>175</v>
      </c>
      <c r="C284" s="96">
        <f>SUM(C285:C286)</f>
        <v>138100</v>
      </c>
      <c r="D284" s="87"/>
      <c r="E284" s="79"/>
      <c r="F284" s="140"/>
    </row>
    <row r="285" spans="1:6" s="78" customFormat="1" ht="13.5" hidden="1">
      <c r="A285" s="86" t="s">
        <v>150</v>
      </c>
      <c r="B285" s="57" t="s">
        <v>149</v>
      </c>
      <c r="C285" s="822">
        <v>16100</v>
      </c>
      <c r="E285" s="79"/>
      <c r="F285" s="140"/>
    </row>
    <row r="286" spans="1:6" s="78" customFormat="1" ht="13.5" hidden="1">
      <c r="A286" s="86" t="s">
        <v>174</v>
      </c>
      <c r="B286" s="57" t="s">
        <v>97</v>
      </c>
      <c r="C286" s="822">
        <v>122000</v>
      </c>
      <c r="D286" s="79" t="s">
        <v>1412</v>
      </c>
      <c r="E286" s="79"/>
      <c r="F286" s="140"/>
    </row>
    <row r="287" spans="1:6" s="78" customFormat="1" ht="13.5">
      <c r="A287" s="12" t="s">
        <v>143</v>
      </c>
      <c r="B287" s="33" t="s">
        <v>61</v>
      </c>
      <c r="C287" s="96">
        <f>SUM(C288)</f>
        <v>64100</v>
      </c>
      <c r="D287" s="79"/>
      <c r="E287" s="79"/>
      <c r="F287" s="140"/>
    </row>
    <row r="288" spans="1:255" s="100" customFormat="1" ht="13.5" hidden="1">
      <c r="A288" s="107" t="s">
        <v>60</v>
      </c>
      <c r="B288" s="57" t="s">
        <v>61</v>
      </c>
      <c r="C288" s="822">
        <v>64100</v>
      </c>
      <c r="D288" s="79"/>
      <c r="E288" s="79"/>
      <c r="F288" s="140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  <c r="CA288" s="78"/>
      <c r="CB288" s="78"/>
      <c r="CC288" s="78"/>
      <c r="CD288" s="7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  <c r="FO288" s="78"/>
      <c r="FP288" s="78"/>
      <c r="FQ288" s="78"/>
      <c r="FR288" s="78"/>
      <c r="FS288" s="78"/>
      <c r="FT288" s="78"/>
      <c r="FU288" s="78"/>
      <c r="FV288" s="78"/>
      <c r="FW288" s="78"/>
      <c r="FX288" s="78"/>
      <c r="FY288" s="78"/>
      <c r="FZ288" s="78"/>
      <c r="GA288" s="78"/>
      <c r="GB288" s="78"/>
      <c r="GC288" s="78"/>
      <c r="GD288" s="78"/>
      <c r="GE288" s="78"/>
      <c r="GF288" s="78"/>
      <c r="GG288" s="78"/>
      <c r="GH288" s="78"/>
      <c r="GI288" s="78"/>
      <c r="GJ288" s="78"/>
      <c r="GK288" s="78"/>
      <c r="GL288" s="78"/>
      <c r="GM288" s="78"/>
      <c r="GN288" s="78"/>
      <c r="GO288" s="78"/>
      <c r="GP288" s="78"/>
      <c r="GQ288" s="78"/>
      <c r="GR288" s="78"/>
      <c r="GS288" s="78"/>
      <c r="GT288" s="78"/>
      <c r="GU288" s="78"/>
      <c r="GV288" s="78"/>
      <c r="GW288" s="78"/>
      <c r="GX288" s="78"/>
      <c r="GY288" s="78"/>
      <c r="GZ288" s="78"/>
      <c r="HA288" s="78"/>
      <c r="HB288" s="78"/>
      <c r="HC288" s="78"/>
      <c r="HD288" s="78"/>
      <c r="HE288" s="78"/>
      <c r="HF288" s="78"/>
      <c r="HG288" s="78"/>
      <c r="HH288" s="78"/>
      <c r="HI288" s="78"/>
      <c r="HJ288" s="78"/>
      <c r="HK288" s="78"/>
      <c r="HL288" s="78"/>
      <c r="HM288" s="78"/>
      <c r="HN288" s="78"/>
      <c r="HO288" s="78"/>
      <c r="HP288" s="78"/>
      <c r="HQ288" s="78"/>
      <c r="HR288" s="78"/>
      <c r="HS288" s="78"/>
      <c r="HT288" s="78"/>
      <c r="HU288" s="78"/>
      <c r="HV288" s="78"/>
      <c r="HW288" s="78"/>
      <c r="HX288" s="78"/>
      <c r="HY288" s="78"/>
      <c r="HZ288" s="78"/>
      <c r="IA288" s="78"/>
      <c r="IB288" s="78"/>
      <c r="IC288" s="78"/>
      <c r="ID288" s="78"/>
      <c r="IE288" s="78"/>
      <c r="IF288" s="78"/>
      <c r="IG288" s="78"/>
      <c r="IH288" s="78"/>
      <c r="II288" s="78"/>
      <c r="IJ288" s="78"/>
      <c r="IK288" s="78"/>
      <c r="IL288" s="78"/>
      <c r="IM288" s="78"/>
      <c r="IN288" s="78"/>
      <c r="IO288" s="78"/>
      <c r="IP288" s="78"/>
      <c r="IQ288" s="78"/>
      <c r="IR288" s="78"/>
      <c r="IS288" s="78"/>
      <c r="IT288" s="78"/>
      <c r="IU288" s="78"/>
    </row>
    <row r="289" spans="1:255" s="100" customFormat="1" ht="13.5">
      <c r="A289" s="12" t="s">
        <v>125</v>
      </c>
      <c r="B289" s="812" t="s">
        <v>8</v>
      </c>
      <c r="C289" s="96">
        <f>SUM(C290:C295)</f>
        <v>2588800</v>
      </c>
      <c r="D289" s="79"/>
      <c r="E289" s="79"/>
      <c r="F289" s="140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  <c r="FO289" s="78"/>
      <c r="FP289" s="78"/>
      <c r="FQ289" s="78"/>
      <c r="FR289" s="78"/>
      <c r="FS289" s="78"/>
      <c r="FT289" s="78"/>
      <c r="FU289" s="78"/>
      <c r="FV289" s="78"/>
      <c r="FW289" s="78"/>
      <c r="FX289" s="78"/>
      <c r="FY289" s="78"/>
      <c r="FZ289" s="78"/>
      <c r="GA289" s="78"/>
      <c r="GB289" s="78"/>
      <c r="GC289" s="78"/>
      <c r="GD289" s="78"/>
      <c r="GE289" s="78"/>
      <c r="GF289" s="78"/>
      <c r="GG289" s="78"/>
      <c r="GH289" s="78"/>
      <c r="GI289" s="78"/>
      <c r="GJ289" s="78"/>
      <c r="GK289" s="78"/>
      <c r="GL289" s="78"/>
      <c r="GM289" s="78"/>
      <c r="GN289" s="78"/>
      <c r="GO289" s="78"/>
      <c r="GP289" s="78"/>
      <c r="GQ289" s="78"/>
      <c r="GR289" s="78"/>
      <c r="GS289" s="78"/>
      <c r="GT289" s="78"/>
      <c r="GU289" s="78"/>
      <c r="GV289" s="78"/>
      <c r="GW289" s="78"/>
      <c r="GX289" s="78"/>
      <c r="GY289" s="78"/>
      <c r="GZ289" s="78"/>
      <c r="HA289" s="78"/>
      <c r="HB289" s="78"/>
      <c r="HC289" s="78"/>
      <c r="HD289" s="78"/>
      <c r="HE289" s="78"/>
      <c r="HF289" s="78"/>
      <c r="HG289" s="78"/>
      <c r="HH289" s="78"/>
      <c r="HI289" s="78"/>
      <c r="HJ289" s="78"/>
      <c r="HK289" s="78"/>
      <c r="HL289" s="78"/>
      <c r="HM289" s="78"/>
      <c r="HN289" s="78"/>
      <c r="HO289" s="78"/>
      <c r="HP289" s="78"/>
      <c r="HQ289" s="78"/>
      <c r="HR289" s="78"/>
      <c r="HS289" s="78"/>
      <c r="HT289" s="78"/>
      <c r="HU289" s="78"/>
      <c r="HV289" s="78"/>
      <c r="HW289" s="78"/>
      <c r="HX289" s="78"/>
      <c r="HY289" s="78"/>
      <c r="HZ289" s="78"/>
      <c r="IA289" s="78"/>
      <c r="IB289" s="78"/>
      <c r="IC289" s="78"/>
      <c r="ID289" s="78"/>
      <c r="IE289" s="78"/>
      <c r="IF289" s="78"/>
      <c r="IG289" s="78"/>
      <c r="IH289" s="78"/>
      <c r="II289" s="78"/>
      <c r="IJ289" s="78"/>
      <c r="IK289" s="78"/>
      <c r="IL289" s="78"/>
      <c r="IM289" s="78"/>
      <c r="IN289" s="78"/>
      <c r="IO289" s="78"/>
      <c r="IP289" s="78"/>
      <c r="IQ289" s="78"/>
      <c r="IR289" s="78"/>
      <c r="IS289" s="78"/>
      <c r="IT289" s="78"/>
      <c r="IU289" s="78"/>
    </row>
    <row r="290" spans="1:255" s="78" customFormat="1" ht="13.5" hidden="1">
      <c r="A290" s="107" t="s">
        <v>99</v>
      </c>
      <c r="B290" s="57" t="s">
        <v>8</v>
      </c>
      <c r="C290" s="822">
        <f>881500-18000-60000</f>
        <v>803500</v>
      </c>
      <c r="D290" s="101" t="s">
        <v>1393</v>
      </c>
      <c r="E290" s="102"/>
      <c r="F290" s="14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  <c r="EO290" s="100"/>
      <c r="EP290" s="100"/>
      <c r="EQ290" s="100"/>
      <c r="ER290" s="100"/>
      <c r="ES290" s="100"/>
      <c r="ET290" s="100"/>
      <c r="EU290" s="100"/>
      <c r="EV290" s="100"/>
      <c r="EW290" s="100"/>
      <c r="EX290" s="100"/>
      <c r="EY290" s="100"/>
      <c r="EZ290" s="100"/>
      <c r="FA290" s="100"/>
      <c r="FB290" s="100"/>
      <c r="FC290" s="100"/>
      <c r="FD290" s="100"/>
      <c r="FE290" s="100"/>
      <c r="FF290" s="100"/>
      <c r="FG290" s="100"/>
      <c r="FH290" s="100"/>
      <c r="FI290" s="100"/>
      <c r="FJ290" s="100"/>
      <c r="FK290" s="100"/>
      <c r="FL290" s="100"/>
      <c r="FM290" s="100"/>
      <c r="FN290" s="100"/>
      <c r="FO290" s="100"/>
      <c r="FP290" s="100"/>
      <c r="FQ290" s="100"/>
      <c r="FR290" s="100"/>
      <c r="FS290" s="100"/>
      <c r="FT290" s="100"/>
      <c r="FU290" s="100"/>
      <c r="FV290" s="100"/>
      <c r="FW290" s="100"/>
      <c r="FX290" s="100"/>
      <c r="FY290" s="100"/>
      <c r="FZ290" s="100"/>
      <c r="GA290" s="100"/>
      <c r="GB290" s="100"/>
      <c r="GC290" s="100"/>
      <c r="GD290" s="100"/>
      <c r="GE290" s="100"/>
      <c r="GF290" s="100"/>
      <c r="GG290" s="100"/>
      <c r="GH290" s="100"/>
      <c r="GI290" s="100"/>
      <c r="GJ290" s="100"/>
      <c r="GK290" s="100"/>
      <c r="GL290" s="100"/>
      <c r="GM290" s="100"/>
      <c r="GN290" s="100"/>
      <c r="GO290" s="100"/>
      <c r="GP290" s="100"/>
      <c r="GQ290" s="100"/>
      <c r="GR290" s="100"/>
      <c r="GS290" s="100"/>
      <c r="GT290" s="100"/>
      <c r="GU290" s="100"/>
      <c r="GV290" s="100"/>
      <c r="GW290" s="100"/>
      <c r="GX290" s="100"/>
      <c r="GY290" s="100"/>
      <c r="GZ290" s="100"/>
      <c r="HA290" s="100"/>
      <c r="HB290" s="100"/>
      <c r="HC290" s="100"/>
      <c r="HD290" s="100"/>
      <c r="HE290" s="100"/>
      <c r="HF290" s="100"/>
      <c r="HG290" s="100"/>
      <c r="HH290" s="100"/>
      <c r="HI290" s="100"/>
      <c r="HJ290" s="100"/>
      <c r="HK290" s="100"/>
      <c r="HL290" s="100"/>
      <c r="HM290" s="100"/>
      <c r="HN290" s="100"/>
      <c r="HO290" s="100"/>
      <c r="HP290" s="100"/>
      <c r="HQ290" s="100"/>
      <c r="HR290" s="100"/>
      <c r="HS290" s="100"/>
      <c r="HT290" s="100"/>
      <c r="HU290" s="100"/>
      <c r="HV290" s="100"/>
      <c r="HW290" s="100"/>
      <c r="HX290" s="100"/>
      <c r="HY290" s="100"/>
      <c r="HZ290" s="100"/>
      <c r="IA290" s="100"/>
      <c r="IB290" s="100"/>
      <c r="IC290" s="100"/>
      <c r="ID290" s="100"/>
      <c r="IE290" s="100"/>
      <c r="IF290" s="100"/>
      <c r="IG290" s="100"/>
      <c r="IH290" s="100"/>
      <c r="II290" s="100"/>
      <c r="IJ290" s="100"/>
      <c r="IK290" s="100"/>
      <c r="IL290" s="100"/>
      <c r="IM290" s="100"/>
      <c r="IN290" s="100"/>
      <c r="IO290" s="100"/>
      <c r="IP290" s="100"/>
      <c r="IQ290" s="100"/>
      <c r="IR290" s="100"/>
      <c r="IS290" s="100"/>
      <c r="IT290" s="100"/>
      <c r="IU290" s="100"/>
    </row>
    <row r="291" spans="1:18" s="100" customFormat="1" ht="13.5" hidden="1">
      <c r="A291" s="107" t="s">
        <v>358</v>
      </c>
      <c r="B291" s="57" t="s">
        <v>359</v>
      </c>
      <c r="C291" s="822">
        <f>1775000-40000</f>
        <v>1735000</v>
      </c>
      <c r="D291" s="325" t="s">
        <v>360</v>
      </c>
      <c r="E291" s="648" t="s">
        <v>1413</v>
      </c>
      <c r="F291" s="140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1:18" s="100" customFormat="1" ht="13.5" hidden="1">
      <c r="A292" s="107" t="s">
        <v>205</v>
      </c>
      <c r="B292" s="57" t="s">
        <v>204</v>
      </c>
      <c r="C292" s="822">
        <v>14500</v>
      </c>
      <c r="D292" s="101"/>
      <c r="E292" s="102" t="s">
        <v>1422</v>
      </c>
      <c r="F292" s="140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1:255" s="100" customFormat="1" ht="13.5" hidden="1">
      <c r="A293" s="86" t="s">
        <v>203</v>
      </c>
      <c r="B293" s="57" t="s">
        <v>202</v>
      </c>
      <c r="C293" s="822">
        <v>5800</v>
      </c>
      <c r="D293" s="79"/>
      <c r="E293" s="79"/>
      <c r="F293" s="140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  <c r="FO293" s="78"/>
      <c r="FP293" s="78"/>
      <c r="FQ293" s="78"/>
      <c r="FR293" s="78"/>
      <c r="FS293" s="78"/>
      <c r="FT293" s="78"/>
      <c r="FU293" s="78"/>
      <c r="FV293" s="78"/>
      <c r="FW293" s="78"/>
      <c r="FX293" s="78"/>
      <c r="FY293" s="78"/>
      <c r="FZ293" s="78"/>
      <c r="GA293" s="78"/>
      <c r="GB293" s="78"/>
      <c r="GC293" s="78"/>
      <c r="GD293" s="78"/>
      <c r="GE293" s="78"/>
      <c r="GF293" s="78"/>
      <c r="GG293" s="78"/>
      <c r="GH293" s="78"/>
      <c r="GI293" s="78"/>
      <c r="GJ293" s="78"/>
      <c r="GK293" s="78"/>
      <c r="GL293" s="78"/>
      <c r="GM293" s="78"/>
      <c r="GN293" s="78"/>
      <c r="GO293" s="78"/>
      <c r="GP293" s="78"/>
      <c r="GQ293" s="78"/>
      <c r="GR293" s="78"/>
      <c r="GS293" s="78"/>
      <c r="GT293" s="78"/>
      <c r="GU293" s="78"/>
      <c r="GV293" s="78"/>
      <c r="GW293" s="78"/>
      <c r="GX293" s="78"/>
      <c r="GY293" s="78"/>
      <c r="GZ293" s="78"/>
      <c r="HA293" s="78"/>
      <c r="HB293" s="78"/>
      <c r="HC293" s="78"/>
      <c r="HD293" s="78"/>
      <c r="HE293" s="78"/>
      <c r="HF293" s="78"/>
      <c r="HG293" s="78"/>
      <c r="HH293" s="78"/>
      <c r="HI293" s="78"/>
      <c r="HJ293" s="78"/>
      <c r="HK293" s="78"/>
      <c r="HL293" s="78"/>
      <c r="HM293" s="78"/>
      <c r="HN293" s="78"/>
      <c r="HO293" s="78"/>
      <c r="HP293" s="78"/>
      <c r="HQ293" s="78"/>
      <c r="HR293" s="78"/>
      <c r="HS293" s="78"/>
      <c r="HT293" s="78"/>
      <c r="HU293" s="78"/>
      <c r="HV293" s="78"/>
      <c r="HW293" s="78"/>
      <c r="HX293" s="78"/>
      <c r="HY293" s="78"/>
      <c r="HZ293" s="78"/>
      <c r="IA293" s="78"/>
      <c r="IB293" s="78"/>
      <c r="IC293" s="78"/>
      <c r="ID293" s="78"/>
      <c r="IE293" s="78"/>
      <c r="IF293" s="78"/>
      <c r="IG293" s="78"/>
      <c r="IH293" s="78"/>
      <c r="II293" s="78"/>
      <c r="IJ293" s="78"/>
      <c r="IK293" s="78"/>
      <c r="IL293" s="78"/>
      <c r="IM293" s="78"/>
      <c r="IN293" s="78"/>
      <c r="IO293" s="78"/>
      <c r="IP293" s="78"/>
      <c r="IQ293" s="78"/>
      <c r="IR293" s="78"/>
      <c r="IS293" s="78"/>
      <c r="IT293" s="78"/>
      <c r="IU293" s="78"/>
    </row>
    <row r="294" spans="1:18" s="100" customFormat="1" ht="13.5" hidden="1">
      <c r="A294" s="86" t="s">
        <v>266</v>
      </c>
      <c r="B294" s="57" t="s">
        <v>265</v>
      </c>
      <c r="C294" s="822">
        <f>120000-60000-30000</f>
        <v>30000</v>
      </c>
      <c r="D294" s="101" t="s">
        <v>1181</v>
      </c>
      <c r="E294" s="102"/>
      <c r="F294" s="140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1:18" s="100" customFormat="1" ht="13.5" hidden="1">
      <c r="A295" s="107" t="s">
        <v>242</v>
      </c>
      <c r="B295" s="57" t="s">
        <v>241</v>
      </c>
      <c r="C295" s="822"/>
      <c r="D295" s="101"/>
      <c r="E295" s="102"/>
      <c r="F295" s="140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1:18" s="100" customFormat="1" ht="14.25" thickBot="1">
      <c r="A296" s="86"/>
      <c r="B296" s="142"/>
      <c r="C296" s="87"/>
      <c r="D296" s="101"/>
      <c r="E296" s="102"/>
      <c r="F296" s="140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1:18" s="100" customFormat="1" ht="14.25" thickBot="1">
      <c r="A297" s="963" t="s">
        <v>5</v>
      </c>
      <c r="B297" s="964"/>
      <c r="C297" s="326">
        <f>C298</f>
        <v>438700</v>
      </c>
      <c r="D297" s="101"/>
      <c r="E297" s="102"/>
      <c r="F297" s="140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1:6" s="323" customFormat="1" ht="13.5">
      <c r="A298" s="95" t="s">
        <v>139</v>
      </c>
      <c r="B298" s="286" t="s">
        <v>140</v>
      </c>
      <c r="C298" s="816">
        <f>SUM(C299:C303)</f>
        <v>438700</v>
      </c>
      <c r="D298" s="252"/>
      <c r="E298" s="135"/>
      <c r="F298" s="140"/>
    </row>
    <row r="299" spans="1:6" s="323" customFormat="1" ht="13.5" hidden="1">
      <c r="A299" s="86" t="s">
        <v>361</v>
      </c>
      <c r="B299" s="140" t="s">
        <v>362</v>
      </c>
      <c r="C299" s="822">
        <f>90000-40000</f>
        <v>50000</v>
      </c>
      <c r="D299" s="252"/>
      <c r="E299" s="135"/>
      <c r="F299" s="140"/>
    </row>
    <row r="300" spans="1:6" s="78" customFormat="1" ht="13.5" hidden="1">
      <c r="A300" s="86" t="s">
        <v>363</v>
      </c>
      <c r="B300" s="57" t="s">
        <v>364</v>
      </c>
      <c r="C300" s="822">
        <f>415200-50000-50000</f>
        <v>315200</v>
      </c>
      <c r="D300" s="252"/>
      <c r="E300" s="79"/>
      <c r="F300" s="140"/>
    </row>
    <row r="301" spans="1:18" s="9" customFormat="1" ht="13.5" hidden="1">
      <c r="A301" s="107" t="s">
        <v>855</v>
      </c>
      <c r="B301" s="57" t="s">
        <v>856</v>
      </c>
      <c r="C301" s="822">
        <v>8500</v>
      </c>
      <c r="D301" s="137"/>
      <c r="E301" s="125"/>
      <c r="F301" s="252"/>
      <c r="G301" s="71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</row>
    <row r="302" spans="1:6" s="78" customFormat="1" ht="13.5" hidden="1">
      <c r="A302" s="86" t="s">
        <v>159</v>
      </c>
      <c r="B302" s="57" t="s">
        <v>158</v>
      </c>
      <c r="C302" s="822">
        <f>100000-50000</f>
        <v>50000</v>
      </c>
      <c r="D302" s="87"/>
      <c r="E302" s="79"/>
      <c r="F302" s="140"/>
    </row>
    <row r="303" spans="1:6" s="78" customFormat="1" ht="13.5" hidden="1">
      <c r="A303" s="86" t="s">
        <v>157</v>
      </c>
      <c r="B303" s="57" t="s">
        <v>365</v>
      </c>
      <c r="C303" s="822">
        <v>15000</v>
      </c>
      <c r="D303" s="87"/>
      <c r="E303" s="79"/>
      <c r="F303" s="140"/>
    </row>
    <row r="304" spans="1:18" s="100" customFormat="1" ht="14.25" thickBot="1">
      <c r="A304" s="105"/>
      <c r="B304" s="105"/>
      <c r="C304" s="87"/>
      <c r="D304" s="101"/>
      <c r="E304" s="102"/>
      <c r="F304" s="140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1:18" s="100" customFormat="1" ht="14.25" thickBot="1">
      <c r="A305" s="959" t="s">
        <v>4</v>
      </c>
      <c r="B305" s="960"/>
      <c r="C305" s="103">
        <f>C306+C308+C311+C313</f>
        <v>124026</v>
      </c>
      <c r="D305" s="101"/>
      <c r="E305" s="102"/>
      <c r="F305" s="140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1:6" s="323" customFormat="1" ht="13.5">
      <c r="A306" s="353" t="s">
        <v>201</v>
      </c>
      <c r="B306" s="404" t="s">
        <v>200</v>
      </c>
      <c r="C306" s="816">
        <f>SUM(C307)</f>
        <v>30300</v>
      </c>
      <c r="D306" s="252"/>
      <c r="E306" s="135"/>
      <c r="F306" s="140"/>
    </row>
    <row r="307" spans="1:255" s="100" customFormat="1" ht="13.5" hidden="1">
      <c r="A307" s="107" t="s">
        <v>195</v>
      </c>
      <c r="B307" s="57" t="s">
        <v>194</v>
      </c>
      <c r="C307" s="822">
        <f>40300-10000</f>
        <v>30300</v>
      </c>
      <c r="D307" s="327"/>
      <c r="E307" s="94"/>
      <c r="F307" s="302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  <c r="FN307" s="68"/>
      <c r="FO307" s="68"/>
      <c r="FP307" s="68"/>
      <c r="FQ307" s="68"/>
      <c r="FR307" s="68"/>
      <c r="FS307" s="68"/>
      <c r="FT307" s="68"/>
      <c r="FU307" s="68"/>
      <c r="FV307" s="68"/>
      <c r="FW307" s="68"/>
      <c r="FX307" s="68"/>
      <c r="FY307" s="68"/>
      <c r="FZ307" s="68"/>
      <c r="GA307" s="68"/>
      <c r="GB307" s="68"/>
      <c r="GC307" s="68"/>
      <c r="GD307" s="68"/>
      <c r="GE307" s="68"/>
      <c r="GF307" s="68"/>
      <c r="GG307" s="68"/>
      <c r="GH307" s="68"/>
      <c r="GI307" s="68"/>
      <c r="GJ307" s="68"/>
      <c r="GK307" s="68"/>
      <c r="GL307" s="68"/>
      <c r="GM307" s="68"/>
      <c r="GN307" s="68"/>
      <c r="GO307" s="68"/>
      <c r="GP307" s="68"/>
      <c r="GQ307" s="68"/>
      <c r="GR307" s="68"/>
      <c r="GS307" s="68"/>
      <c r="GT307" s="68"/>
      <c r="GU307" s="68"/>
      <c r="GV307" s="68"/>
      <c r="GW307" s="68"/>
      <c r="GX307" s="68"/>
      <c r="GY307" s="68"/>
      <c r="GZ307" s="68"/>
      <c r="HA307" s="68"/>
      <c r="HB307" s="68"/>
      <c r="HC307" s="68"/>
      <c r="HD307" s="68"/>
      <c r="HE307" s="68"/>
      <c r="HF307" s="68"/>
      <c r="HG307" s="68"/>
      <c r="HH307" s="68"/>
      <c r="HI307" s="68"/>
      <c r="HJ307" s="68"/>
      <c r="HK307" s="68"/>
      <c r="HL307" s="68"/>
      <c r="HM307" s="68"/>
      <c r="HN307" s="68"/>
      <c r="HO307" s="68"/>
      <c r="HP307" s="68"/>
      <c r="HQ307" s="68"/>
      <c r="HR307" s="68"/>
      <c r="HS307" s="68"/>
      <c r="HT307" s="68"/>
      <c r="HU307" s="68"/>
      <c r="HV307" s="68"/>
      <c r="HW307" s="68"/>
      <c r="HX307" s="68"/>
      <c r="HY307" s="68"/>
      <c r="HZ307" s="68"/>
      <c r="IA307" s="68"/>
      <c r="IB307" s="68"/>
      <c r="IC307" s="68"/>
      <c r="ID307" s="68"/>
      <c r="IE307" s="68"/>
      <c r="IF307" s="68"/>
      <c r="IG307" s="68"/>
      <c r="IH307" s="68"/>
      <c r="II307" s="68"/>
      <c r="IJ307" s="68"/>
      <c r="IK307" s="68"/>
      <c r="IL307" s="68"/>
      <c r="IM307" s="68"/>
      <c r="IN307" s="68"/>
      <c r="IO307" s="68"/>
      <c r="IP307" s="68"/>
      <c r="IQ307" s="68"/>
      <c r="IR307" s="68"/>
      <c r="IS307" s="68"/>
      <c r="IT307" s="68"/>
      <c r="IU307" s="68"/>
    </row>
    <row r="308" spans="1:255" s="100" customFormat="1" ht="13.5">
      <c r="A308" s="353" t="s">
        <v>126</v>
      </c>
      <c r="B308" s="404" t="s">
        <v>127</v>
      </c>
      <c r="C308" s="96">
        <f>SUM(C309:C310)</f>
        <v>73600</v>
      </c>
      <c r="D308" s="327"/>
      <c r="E308" s="94"/>
      <c r="F308" s="302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  <c r="EY308" s="68"/>
      <c r="EZ308" s="68"/>
      <c r="FA308" s="68"/>
      <c r="FB308" s="68"/>
      <c r="FC308" s="68"/>
      <c r="FD308" s="68"/>
      <c r="FE308" s="68"/>
      <c r="FF308" s="68"/>
      <c r="FG308" s="68"/>
      <c r="FH308" s="68"/>
      <c r="FI308" s="68"/>
      <c r="FJ308" s="68"/>
      <c r="FK308" s="68"/>
      <c r="FL308" s="68"/>
      <c r="FM308" s="68"/>
      <c r="FN308" s="68"/>
      <c r="FO308" s="68"/>
      <c r="FP308" s="68"/>
      <c r="FQ308" s="68"/>
      <c r="FR308" s="68"/>
      <c r="FS308" s="68"/>
      <c r="FT308" s="68"/>
      <c r="FU308" s="68"/>
      <c r="FV308" s="68"/>
      <c r="FW308" s="68"/>
      <c r="FX308" s="68"/>
      <c r="FY308" s="68"/>
      <c r="FZ308" s="68"/>
      <c r="GA308" s="68"/>
      <c r="GB308" s="68"/>
      <c r="GC308" s="68"/>
      <c r="GD308" s="68"/>
      <c r="GE308" s="68"/>
      <c r="GF308" s="68"/>
      <c r="GG308" s="68"/>
      <c r="GH308" s="68"/>
      <c r="GI308" s="68"/>
      <c r="GJ308" s="68"/>
      <c r="GK308" s="68"/>
      <c r="GL308" s="68"/>
      <c r="GM308" s="68"/>
      <c r="GN308" s="68"/>
      <c r="GO308" s="68"/>
      <c r="GP308" s="68"/>
      <c r="GQ308" s="68"/>
      <c r="GR308" s="68"/>
      <c r="GS308" s="68"/>
      <c r="GT308" s="68"/>
      <c r="GU308" s="68"/>
      <c r="GV308" s="68"/>
      <c r="GW308" s="68"/>
      <c r="GX308" s="68"/>
      <c r="GY308" s="68"/>
      <c r="GZ308" s="68"/>
      <c r="HA308" s="68"/>
      <c r="HB308" s="68"/>
      <c r="HC308" s="68"/>
      <c r="HD308" s="68"/>
      <c r="HE308" s="68"/>
      <c r="HF308" s="68"/>
      <c r="HG308" s="68"/>
      <c r="HH308" s="68"/>
      <c r="HI308" s="68"/>
      <c r="HJ308" s="68"/>
      <c r="HK308" s="68"/>
      <c r="HL308" s="68"/>
      <c r="HM308" s="68"/>
      <c r="HN308" s="68"/>
      <c r="HO308" s="68"/>
      <c r="HP308" s="68"/>
      <c r="HQ308" s="68"/>
      <c r="HR308" s="68"/>
      <c r="HS308" s="68"/>
      <c r="HT308" s="68"/>
      <c r="HU308" s="68"/>
      <c r="HV308" s="68"/>
      <c r="HW308" s="68"/>
      <c r="HX308" s="68"/>
      <c r="HY308" s="68"/>
      <c r="HZ308" s="68"/>
      <c r="IA308" s="68"/>
      <c r="IB308" s="68"/>
      <c r="IC308" s="68"/>
      <c r="ID308" s="68"/>
      <c r="IE308" s="68"/>
      <c r="IF308" s="68"/>
      <c r="IG308" s="68"/>
      <c r="IH308" s="68"/>
      <c r="II308" s="68"/>
      <c r="IJ308" s="68"/>
      <c r="IK308" s="68"/>
      <c r="IL308" s="68"/>
      <c r="IM308" s="68"/>
      <c r="IN308" s="68"/>
      <c r="IO308" s="68"/>
      <c r="IP308" s="68"/>
      <c r="IQ308" s="68"/>
      <c r="IR308" s="68"/>
      <c r="IS308" s="68"/>
      <c r="IT308" s="68"/>
      <c r="IU308" s="68"/>
    </row>
    <row r="309" spans="1:18" s="100" customFormat="1" ht="13.5" hidden="1">
      <c r="A309" s="107" t="s">
        <v>101</v>
      </c>
      <c r="B309" s="57" t="s">
        <v>152</v>
      </c>
      <c r="C309" s="822">
        <f>49100-6000</f>
        <v>43100</v>
      </c>
      <c r="D309" s="101"/>
      <c r="E309" s="102"/>
      <c r="F309" s="140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1:255" s="68" customFormat="1" ht="13.5" hidden="1">
      <c r="A310" s="107" t="s">
        <v>62</v>
      </c>
      <c r="B310" s="57" t="s">
        <v>63</v>
      </c>
      <c r="C310" s="822">
        <v>30500</v>
      </c>
      <c r="D310" s="101"/>
      <c r="E310" s="102"/>
      <c r="F310" s="140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  <c r="EO310" s="100"/>
      <c r="EP310" s="100"/>
      <c r="EQ310" s="100"/>
      <c r="ER310" s="100"/>
      <c r="ES310" s="100"/>
      <c r="ET310" s="100"/>
      <c r="EU310" s="100"/>
      <c r="EV310" s="100"/>
      <c r="EW310" s="100"/>
      <c r="EX310" s="100"/>
      <c r="EY310" s="100"/>
      <c r="EZ310" s="100"/>
      <c r="FA310" s="100"/>
      <c r="FB310" s="100"/>
      <c r="FC310" s="100"/>
      <c r="FD310" s="100"/>
      <c r="FE310" s="100"/>
      <c r="FF310" s="100"/>
      <c r="FG310" s="100"/>
      <c r="FH310" s="100"/>
      <c r="FI310" s="100"/>
      <c r="FJ310" s="100"/>
      <c r="FK310" s="100"/>
      <c r="FL310" s="100"/>
      <c r="FM310" s="100"/>
      <c r="FN310" s="100"/>
      <c r="FO310" s="100"/>
      <c r="FP310" s="100"/>
      <c r="FQ310" s="100"/>
      <c r="FR310" s="100"/>
      <c r="FS310" s="100"/>
      <c r="FT310" s="100"/>
      <c r="FU310" s="100"/>
      <c r="FV310" s="100"/>
      <c r="FW310" s="100"/>
      <c r="FX310" s="100"/>
      <c r="FY310" s="100"/>
      <c r="FZ310" s="100"/>
      <c r="GA310" s="100"/>
      <c r="GB310" s="100"/>
      <c r="GC310" s="100"/>
      <c r="GD310" s="100"/>
      <c r="GE310" s="100"/>
      <c r="GF310" s="100"/>
      <c r="GG310" s="100"/>
      <c r="GH310" s="100"/>
      <c r="GI310" s="100"/>
      <c r="GJ310" s="100"/>
      <c r="GK310" s="100"/>
      <c r="GL310" s="100"/>
      <c r="GM310" s="100"/>
      <c r="GN310" s="100"/>
      <c r="GO310" s="100"/>
      <c r="GP310" s="100"/>
      <c r="GQ310" s="100"/>
      <c r="GR310" s="100"/>
      <c r="GS310" s="100"/>
      <c r="GT310" s="100"/>
      <c r="GU310" s="100"/>
      <c r="GV310" s="100"/>
      <c r="GW310" s="100"/>
      <c r="GX310" s="100"/>
      <c r="GY310" s="100"/>
      <c r="GZ310" s="100"/>
      <c r="HA310" s="100"/>
      <c r="HB310" s="100"/>
      <c r="HC310" s="100"/>
      <c r="HD310" s="100"/>
      <c r="HE310" s="100"/>
      <c r="HF310" s="100"/>
      <c r="HG310" s="100"/>
      <c r="HH310" s="100"/>
      <c r="HI310" s="100"/>
      <c r="HJ310" s="100"/>
      <c r="HK310" s="100"/>
      <c r="HL310" s="100"/>
      <c r="HM310" s="100"/>
      <c r="HN310" s="100"/>
      <c r="HO310" s="100"/>
      <c r="HP310" s="100"/>
      <c r="HQ310" s="100"/>
      <c r="HR310" s="100"/>
      <c r="HS310" s="100"/>
      <c r="HT310" s="100"/>
      <c r="HU310" s="100"/>
      <c r="HV310" s="100"/>
      <c r="HW310" s="100"/>
      <c r="HX310" s="100"/>
      <c r="HY310" s="100"/>
      <c r="HZ310" s="100"/>
      <c r="IA310" s="100"/>
      <c r="IB310" s="100"/>
      <c r="IC310" s="100"/>
      <c r="ID310" s="100"/>
      <c r="IE310" s="100"/>
      <c r="IF310" s="100"/>
      <c r="IG310" s="100"/>
      <c r="IH310" s="100"/>
      <c r="II310" s="100"/>
      <c r="IJ310" s="100"/>
      <c r="IK310" s="100"/>
      <c r="IL310" s="100"/>
      <c r="IM310" s="100"/>
      <c r="IN310" s="100"/>
      <c r="IO310" s="100"/>
      <c r="IP310" s="100"/>
      <c r="IQ310" s="100"/>
      <c r="IR310" s="100"/>
      <c r="IS310" s="100"/>
      <c r="IT310" s="100"/>
      <c r="IU310" s="100"/>
    </row>
    <row r="311" spans="1:18" s="100" customFormat="1" ht="13.5">
      <c r="A311" s="353" t="s">
        <v>142</v>
      </c>
      <c r="B311" s="812" t="s">
        <v>181</v>
      </c>
      <c r="C311" s="96">
        <f>SUM(C312)</f>
        <v>1</v>
      </c>
      <c r="D311" s="101"/>
      <c r="E311" s="102"/>
      <c r="F311" s="140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1:255" s="100" customFormat="1" ht="13.5" hidden="1">
      <c r="A312" s="107" t="s">
        <v>185</v>
      </c>
      <c r="B312" s="57" t="s">
        <v>181</v>
      </c>
      <c r="C312" s="822">
        <v>1</v>
      </c>
      <c r="D312" s="327"/>
      <c r="E312" s="94"/>
      <c r="F312" s="302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  <c r="FN312" s="68"/>
      <c r="FO312" s="68"/>
      <c r="FP312" s="68"/>
      <c r="FQ312" s="68"/>
      <c r="FR312" s="68"/>
      <c r="FS312" s="68"/>
      <c r="FT312" s="68"/>
      <c r="FU312" s="68"/>
      <c r="FV312" s="68"/>
      <c r="FW312" s="68"/>
      <c r="FX312" s="68"/>
      <c r="FY312" s="68"/>
      <c r="FZ312" s="68"/>
      <c r="GA312" s="68"/>
      <c r="GB312" s="68"/>
      <c r="GC312" s="68"/>
      <c r="GD312" s="68"/>
      <c r="GE312" s="68"/>
      <c r="GF312" s="68"/>
      <c r="GG312" s="68"/>
      <c r="GH312" s="68"/>
      <c r="GI312" s="68"/>
      <c r="GJ312" s="68"/>
      <c r="GK312" s="68"/>
      <c r="GL312" s="68"/>
      <c r="GM312" s="68"/>
      <c r="GN312" s="68"/>
      <c r="GO312" s="68"/>
      <c r="GP312" s="68"/>
      <c r="GQ312" s="68"/>
      <c r="GR312" s="68"/>
      <c r="GS312" s="68"/>
      <c r="GT312" s="68"/>
      <c r="GU312" s="68"/>
      <c r="GV312" s="68"/>
      <c r="GW312" s="68"/>
      <c r="GX312" s="68"/>
      <c r="GY312" s="68"/>
      <c r="GZ312" s="68"/>
      <c r="HA312" s="68"/>
      <c r="HB312" s="68"/>
      <c r="HC312" s="68"/>
      <c r="HD312" s="68"/>
      <c r="HE312" s="68"/>
      <c r="HF312" s="68"/>
      <c r="HG312" s="68"/>
      <c r="HH312" s="68"/>
      <c r="HI312" s="68"/>
      <c r="HJ312" s="68"/>
      <c r="HK312" s="68"/>
      <c r="HL312" s="68"/>
      <c r="HM312" s="68"/>
      <c r="HN312" s="68"/>
      <c r="HO312" s="68"/>
      <c r="HP312" s="68"/>
      <c r="HQ312" s="68"/>
      <c r="HR312" s="68"/>
      <c r="HS312" s="68"/>
      <c r="HT312" s="68"/>
      <c r="HU312" s="68"/>
      <c r="HV312" s="68"/>
      <c r="HW312" s="68"/>
      <c r="HX312" s="68"/>
      <c r="HY312" s="68"/>
      <c r="HZ312" s="68"/>
      <c r="IA312" s="68"/>
      <c r="IB312" s="68"/>
      <c r="IC312" s="68"/>
      <c r="ID312" s="68"/>
      <c r="IE312" s="68"/>
      <c r="IF312" s="68"/>
      <c r="IG312" s="68"/>
      <c r="IH312" s="68"/>
      <c r="II312" s="68"/>
      <c r="IJ312" s="68"/>
      <c r="IK312" s="68"/>
      <c r="IL312" s="68"/>
      <c r="IM312" s="68"/>
      <c r="IN312" s="68"/>
      <c r="IO312" s="68"/>
      <c r="IP312" s="68"/>
      <c r="IQ312" s="68"/>
      <c r="IR312" s="68"/>
      <c r="IS312" s="68"/>
      <c r="IT312" s="68"/>
      <c r="IU312" s="68"/>
    </row>
    <row r="313" spans="1:255" s="68" customFormat="1" ht="13.5">
      <c r="A313" s="353" t="s">
        <v>128</v>
      </c>
      <c r="B313" s="26" t="s">
        <v>146</v>
      </c>
      <c r="C313" s="96">
        <f>SUM(C314)</f>
        <v>20125</v>
      </c>
      <c r="D313" s="101"/>
      <c r="E313" s="102"/>
      <c r="F313" s="140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  <c r="EO313" s="100"/>
      <c r="EP313" s="100"/>
      <c r="EQ313" s="100"/>
      <c r="ER313" s="100"/>
      <c r="ES313" s="100"/>
      <c r="ET313" s="100"/>
      <c r="EU313" s="100"/>
      <c r="EV313" s="100"/>
      <c r="EW313" s="100"/>
      <c r="EX313" s="100"/>
      <c r="EY313" s="100"/>
      <c r="EZ313" s="100"/>
      <c r="FA313" s="100"/>
      <c r="FB313" s="100"/>
      <c r="FC313" s="100"/>
      <c r="FD313" s="100"/>
      <c r="FE313" s="100"/>
      <c r="FF313" s="100"/>
      <c r="FG313" s="100"/>
      <c r="FH313" s="100"/>
      <c r="FI313" s="100"/>
      <c r="FJ313" s="100"/>
      <c r="FK313" s="100"/>
      <c r="FL313" s="100"/>
      <c r="FM313" s="100"/>
      <c r="FN313" s="100"/>
      <c r="FO313" s="100"/>
      <c r="FP313" s="100"/>
      <c r="FQ313" s="100"/>
      <c r="FR313" s="100"/>
      <c r="FS313" s="100"/>
      <c r="FT313" s="100"/>
      <c r="FU313" s="100"/>
      <c r="FV313" s="100"/>
      <c r="FW313" s="100"/>
      <c r="FX313" s="100"/>
      <c r="FY313" s="100"/>
      <c r="FZ313" s="100"/>
      <c r="GA313" s="100"/>
      <c r="GB313" s="100"/>
      <c r="GC313" s="100"/>
      <c r="GD313" s="100"/>
      <c r="GE313" s="100"/>
      <c r="GF313" s="100"/>
      <c r="GG313" s="100"/>
      <c r="GH313" s="100"/>
      <c r="GI313" s="100"/>
      <c r="GJ313" s="100"/>
      <c r="GK313" s="100"/>
      <c r="GL313" s="100"/>
      <c r="GM313" s="100"/>
      <c r="GN313" s="100"/>
      <c r="GO313" s="100"/>
      <c r="GP313" s="100"/>
      <c r="GQ313" s="100"/>
      <c r="GR313" s="100"/>
      <c r="GS313" s="100"/>
      <c r="GT313" s="100"/>
      <c r="GU313" s="100"/>
      <c r="GV313" s="100"/>
      <c r="GW313" s="100"/>
      <c r="GX313" s="100"/>
      <c r="GY313" s="100"/>
      <c r="GZ313" s="100"/>
      <c r="HA313" s="100"/>
      <c r="HB313" s="100"/>
      <c r="HC313" s="100"/>
      <c r="HD313" s="100"/>
      <c r="HE313" s="100"/>
      <c r="HF313" s="100"/>
      <c r="HG313" s="100"/>
      <c r="HH313" s="100"/>
      <c r="HI313" s="100"/>
      <c r="HJ313" s="100"/>
      <c r="HK313" s="100"/>
      <c r="HL313" s="100"/>
      <c r="HM313" s="100"/>
      <c r="HN313" s="100"/>
      <c r="HO313" s="100"/>
      <c r="HP313" s="100"/>
      <c r="HQ313" s="100"/>
      <c r="HR313" s="100"/>
      <c r="HS313" s="100"/>
      <c r="HT313" s="100"/>
      <c r="HU313" s="100"/>
      <c r="HV313" s="100"/>
      <c r="HW313" s="100"/>
      <c r="HX313" s="100"/>
      <c r="HY313" s="100"/>
      <c r="HZ313" s="100"/>
      <c r="IA313" s="100"/>
      <c r="IB313" s="100"/>
      <c r="IC313" s="100"/>
      <c r="ID313" s="100"/>
      <c r="IE313" s="100"/>
      <c r="IF313" s="100"/>
      <c r="IG313" s="100"/>
      <c r="IH313" s="100"/>
      <c r="II313" s="100"/>
      <c r="IJ313" s="100"/>
      <c r="IK313" s="100"/>
      <c r="IL313" s="100"/>
      <c r="IM313" s="100"/>
      <c r="IN313" s="100"/>
      <c r="IO313" s="100"/>
      <c r="IP313" s="100"/>
      <c r="IQ313" s="100"/>
      <c r="IR313" s="100"/>
      <c r="IS313" s="100"/>
      <c r="IT313" s="100"/>
      <c r="IU313" s="100"/>
    </row>
    <row r="314" spans="1:255" s="68" customFormat="1" ht="13.5" hidden="1">
      <c r="A314" s="107" t="s">
        <v>239</v>
      </c>
      <c r="B314" s="57" t="s">
        <v>56</v>
      </c>
      <c r="C314" s="822">
        <v>20125</v>
      </c>
      <c r="D314" s="101"/>
      <c r="E314" s="102"/>
      <c r="F314" s="140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  <c r="EO314" s="100"/>
      <c r="EP314" s="100"/>
      <c r="EQ314" s="100"/>
      <c r="ER314" s="100"/>
      <c r="ES314" s="100"/>
      <c r="ET314" s="100"/>
      <c r="EU314" s="100"/>
      <c r="EV314" s="100"/>
      <c r="EW314" s="100"/>
      <c r="EX314" s="100"/>
      <c r="EY314" s="100"/>
      <c r="EZ314" s="100"/>
      <c r="FA314" s="100"/>
      <c r="FB314" s="100"/>
      <c r="FC314" s="100"/>
      <c r="FD314" s="100"/>
      <c r="FE314" s="100"/>
      <c r="FF314" s="100"/>
      <c r="FG314" s="100"/>
      <c r="FH314" s="100"/>
      <c r="FI314" s="100"/>
      <c r="FJ314" s="100"/>
      <c r="FK314" s="100"/>
      <c r="FL314" s="100"/>
      <c r="FM314" s="100"/>
      <c r="FN314" s="100"/>
      <c r="FO314" s="100"/>
      <c r="FP314" s="100"/>
      <c r="FQ314" s="100"/>
      <c r="FR314" s="100"/>
      <c r="FS314" s="100"/>
      <c r="FT314" s="100"/>
      <c r="FU314" s="100"/>
      <c r="FV314" s="100"/>
      <c r="FW314" s="100"/>
      <c r="FX314" s="100"/>
      <c r="FY314" s="100"/>
      <c r="FZ314" s="100"/>
      <c r="GA314" s="100"/>
      <c r="GB314" s="100"/>
      <c r="GC314" s="100"/>
      <c r="GD314" s="100"/>
      <c r="GE314" s="100"/>
      <c r="GF314" s="100"/>
      <c r="GG314" s="100"/>
      <c r="GH314" s="100"/>
      <c r="GI314" s="100"/>
      <c r="GJ314" s="100"/>
      <c r="GK314" s="100"/>
      <c r="GL314" s="100"/>
      <c r="GM314" s="100"/>
      <c r="GN314" s="100"/>
      <c r="GO314" s="100"/>
      <c r="GP314" s="100"/>
      <c r="GQ314" s="100"/>
      <c r="GR314" s="100"/>
      <c r="GS314" s="100"/>
      <c r="GT314" s="100"/>
      <c r="GU314" s="100"/>
      <c r="GV314" s="100"/>
      <c r="GW314" s="100"/>
      <c r="GX314" s="100"/>
      <c r="GY314" s="100"/>
      <c r="GZ314" s="100"/>
      <c r="HA314" s="100"/>
      <c r="HB314" s="100"/>
      <c r="HC314" s="100"/>
      <c r="HD314" s="100"/>
      <c r="HE314" s="100"/>
      <c r="HF314" s="100"/>
      <c r="HG314" s="100"/>
      <c r="HH314" s="100"/>
      <c r="HI314" s="100"/>
      <c r="HJ314" s="100"/>
      <c r="HK314" s="100"/>
      <c r="HL314" s="100"/>
      <c r="HM314" s="100"/>
      <c r="HN314" s="100"/>
      <c r="HO314" s="100"/>
      <c r="HP314" s="100"/>
      <c r="HQ314" s="100"/>
      <c r="HR314" s="100"/>
      <c r="HS314" s="100"/>
      <c r="HT314" s="100"/>
      <c r="HU314" s="100"/>
      <c r="HV314" s="100"/>
      <c r="HW314" s="100"/>
      <c r="HX314" s="100"/>
      <c r="HY314" s="100"/>
      <c r="HZ314" s="100"/>
      <c r="IA314" s="100"/>
      <c r="IB314" s="100"/>
      <c r="IC314" s="100"/>
      <c r="ID314" s="100"/>
      <c r="IE314" s="100"/>
      <c r="IF314" s="100"/>
      <c r="IG314" s="100"/>
      <c r="IH314" s="100"/>
      <c r="II314" s="100"/>
      <c r="IJ314" s="100"/>
      <c r="IK314" s="100"/>
      <c r="IL314" s="100"/>
      <c r="IM314" s="100"/>
      <c r="IN314" s="100"/>
      <c r="IO314" s="100"/>
      <c r="IP314" s="100"/>
      <c r="IQ314" s="100"/>
      <c r="IR314" s="100"/>
      <c r="IS314" s="100"/>
      <c r="IT314" s="100"/>
      <c r="IU314" s="100"/>
    </row>
    <row r="315" spans="3:18" s="68" customFormat="1" ht="13.5">
      <c r="C315" s="99"/>
      <c r="D315" s="94"/>
      <c r="E315" s="99"/>
      <c r="F315" s="302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1:18" s="222" customFormat="1" ht="13.5" customHeight="1">
      <c r="A316" s="107"/>
      <c r="B316" s="107"/>
      <c r="C316" s="254"/>
      <c r="D316" s="184"/>
      <c r="E316" s="107"/>
      <c r="F316" s="108"/>
      <c r="G316" s="290"/>
      <c r="H316" s="250"/>
      <c r="I316" s="250"/>
      <c r="J316" s="250"/>
      <c r="K316" s="250"/>
      <c r="L316" s="109"/>
      <c r="M316" s="109"/>
      <c r="N316" s="109"/>
      <c r="O316" s="109"/>
      <c r="P316" s="109"/>
      <c r="Q316" s="109"/>
      <c r="R316" s="109"/>
    </row>
    <row r="317" spans="1:18" s="328" customFormat="1" ht="13.5" customHeight="1">
      <c r="A317" s="335"/>
      <c r="B317" s="107"/>
      <c r="C317" s="254"/>
      <c r="D317" s="107"/>
      <c r="E317" s="333"/>
      <c r="F317" s="271"/>
      <c r="G317" s="931"/>
      <c r="H317" s="931"/>
      <c r="I317" s="931"/>
      <c r="J317" s="931"/>
      <c r="K317" s="931"/>
      <c r="L317" s="931"/>
      <c r="M317" s="931"/>
      <c r="N317" s="931"/>
      <c r="O317" s="931"/>
      <c r="P317" s="931"/>
      <c r="Q317" s="931"/>
      <c r="R317" s="931"/>
    </row>
    <row r="318" spans="1:18" s="328" customFormat="1" ht="13.5" customHeight="1">
      <c r="A318" s="335"/>
      <c r="B318" s="107"/>
      <c r="C318" s="254"/>
      <c r="D318" s="107"/>
      <c r="E318" s="333"/>
      <c r="F318" s="271"/>
      <c r="G318" s="931"/>
      <c r="H318" s="931"/>
      <c r="I318" s="931"/>
      <c r="J318" s="931"/>
      <c r="K318" s="931"/>
      <c r="L318" s="931"/>
      <c r="M318" s="931"/>
      <c r="N318" s="931"/>
      <c r="O318" s="931"/>
      <c r="P318" s="931"/>
      <c r="Q318" s="931"/>
      <c r="R318" s="931"/>
    </row>
    <row r="319" spans="1:18" s="328" customFormat="1" ht="13.5" customHeight="1">
      <c r="A319" s="335"/>
      <c r="B319" s="107"/>
      <c r="C319" s="254"/>
      <c r="D319" s="107"/>
      <c r="E319" s="333"/>
      <c r="F319" s="271"/>
      <c r="G319" s="931"/>
      <c r="H319" s="931"/>
      <c r="I319" s="931"/>
      <c r="J319" s="931"/>
      <c r="K319" s="931"/>
      <c r="L319" s="931"/>
      <c r="M319" s="931"/>
      <c r="N319" s="931"/>
      <c r="O319" s="931"/>
      <c r="P319" s="931"/>
      <c r="Q319" s="931"/>
      <c r="R319" s="931"/>
    </row>
    <row r="320" spans="1:18" s="328" customFormat="1" ht="13.5" customHeight="1">
      <c r="A320" s="335"/>
      <c r="B320" s="107"/>
      <c r="C320" s="254"/>
      <c r="D320" s="107"/>
      <c r="E320" s="333"/>
      <c r="F320" s="271"/>
      <c r="G320" s="931"/>
      <c r="H320" s="931"/>
      <c r="I320" s="931"/>
      <c r="J320" s="931"/>
      <c r="K320" s="931"/>
      <c r="L320" s="931"/>
      <c r="M320" s="931"/>
      <c r="N320" s="931"/>
      <c r="O320" s="931"/>
      <c r="P320" s="931"/>
      <c r="Q320" s="931"/>
      <c r="R320" s="931"/>
    </row>
    <row r="321" spans="1:18" s="328" customFormat="1" ht="13.5" customHeight="1">
      <c r="A321" s="335"/>
      <c r="B321" s="335"/>
      <c r="C321" s="336"/>
      <c r="D321" s="335"/>
      <c r="E321" s="333"/>
      <c r="F321" s="271"/>
      <c r="G321" s="931"/>
      <c r="H321" s="931"/>
      <c r="I321" s="931"/>
      <c r="J321" s="931"/>
      <c r="K321" s="931"/>
      <c r="L321" s="931"/>
      <c r="M321" s="931"/>
      <c r="N321" s="931"/>
      <c r="O321" s="931"/>
      <c r="P321" s="931"/>
      <c r="Q321" s="931"/>
      <c r="R321" s="931"/>
    </row>
    <row r="322" spans="1:18" s="328" customFormat="1" ht="13.5" customHeight="1">
      <c r="A322" s="335"/>
      <c r="B322" s="335"/>
      <c r="C322" s="336"/>
      <c r="D322" s="335"/>
      <c r="E322" s="333"/>
      <c r="F322" s="271"/>
      <c r="G322" s="931"/>
      <c r="H322" s="931"/>
      <c r="I322" s="931"/>
      <c r="J322" s="931"/>
      <c r="K322" s="931"/>
      <c r="L322" s="931"/>
      <c r="M322" s="931"/>
      <c r="N322" s="931"/>
      <c r="O322" s="931"/>
      <c r="P322" s="931"/>
      <c r="Q322" s="931"/>
      <c r="R322" s="931"/>
    </row>
    <row r="323" spans="1:18" s="328" customFormat="1" ht="13.5" customHeight="1">
      <c r="A323" s="331"/>
      <c r="B323" s="331"/>
      <c r="C323" s="332"/>
      <c r="D323" s="331"/>
      <c r="E323" s="333"/>
      <c r="F323" s="271"/>
      <c r="G323" s="931"/>
      <c r="H323" s="931"/>
      <c r="I323" s="931"/>
      <c r="J323" s="931"/>
      <c r="K323" s="931"/>
      <c r="L323" s="931"/>
      <c r="M323" s="931"/>
      <c r="N323" s="931"/>
      <c r="O323" s="931"/>
      <c r="P323" s="931"/>
      <c r="Q323" s="931"/>
      <c r="R323" s="931"/>
    </row>
    <row r="324" spans="1:18" s="328" customFormat="1" ht="13.5" customHeight="1">
      <c r="A324" s="331"/>
      <c r="B324" s="331"/>
      <c r="C324" s="332"/>
      <c r="D324" s="331"/>
      <c r="E324" s="333"/>
      <c r="F324" s="271"/>
      <c r="G324" s="931"/>
      <c r="H324" s="931"/>
      <c r="I324" s="931"/>
      <c r="J324" s="931"/>
      <c r="K324" s="931"/>
      <c r="L324" s="931"/>
      <c r="M324" s="931"/>
      <c r="N324" s="931"/>
      <c r="O324" s="931"/>
      <c r="P324" s="931"/>
      <c r="Q324" s="931"/>
      <c r="R324" s="931"/>
    </row>
    <row r="325" spans="1:18" s="328" customFormat="1" ht="13.5" customHeight="1">
      <c r="A325" s="331"/>
      <c r="B325" s="331"/>
      <c r="C325" s="332"/>
      <c r="D325" s="331"/>
      <c r="E325" s="333"/>
      <c r="F325" s="271"/>
      <c r="G325" s="931"/>
      <c r="H325" s="931"/>
      <c r="I325" s="931"/>
      <c r="J325" s="931"/>
      <c r="K325" s="931"/>
      <c r="L325" s="931"/>
      <c r="M325" s="931"/>
      <c r="N325" s="931"/>
      <c r="O325" s="931"/>
      <c r="P325" s="931"/>
      <c r="Q325" s="931"/>
      <c r="R325" s="931"/>
    </row>
    <row r="326" spans="1:18" s="328" customFormat="1" ht="13.5" customHeight="1">
      <c r="A326" s="331"/>
      <c r="B326" s="331"/>
      <c r="C326" s="332"/>
      <c r="D326" s="331"/>
      <c r="E326" s="333"/>
      <c r="F326" s="271"/>
      <c r="G326" s="931"/>
      <c r="H326" s="931"/>
      <c r="I326" s="931"/>
      <c r="J326" s="931"/>
      <c r="K326" s="931"/>
      <c r="L326" s="931"/>
      <c r="M326" s="931"/>
      <c r="N326" s="931"/>
      <c r="O326" s="931"/>
      <c r="P326" s="931"/>
      <c r="Q326" s="931"/>
      <c r="R326" s="931"/>
    </row>
    <row r="327" spans="1:18" s="328" customFormat="1" ht="13.5" customHeight="1">
      <c r="A327" s="331"/>
      <c r="B327" s="331"/>
      <c r="C327" s="332"/>
      <c r="D327" s="331"/>
      <c r="E327" s="333"/>
      <c r="F327" s="271"/>
      <c r="G327" s="931"/>
      <c r="H327" s="931"/>
      <c r="I327" s="931"/>
      <c r="J327" s="931"/>
      <c r="K327" s="931"/>
      <c r="L327" s="931"/>
      <c r="M327" s="931"/>
      <c r="N327" s="931"/>
      <c r="O327" s="931"/>
      <c r="P327" s="931"/>
      <c r="Q327" s="931"/>
      <c r="R327" s="931"/>
    </row>
    <row r="328" spans="1:18" s="328" customFormat="1" ht="13.5" customHeight="1">
      <c r="A328" s="331"/>
      <c r="B328" s="331"/>
      <c r="C328" s="332"/>
      <c r="D328" s="331"/>
      <c r="E328" s="333"/>
      <c r="F328" s="271"/>
      <c r="G328" s="931"/>
      <c r="H328" s="931"/>
      <c r="I328" s="931"/>
      <c r="J328" s="931"/>
      <c r="K328" s="931"/>
      <c r="L328" s="931"/>
      <c r="M328" s="931"/>
      <c r="N328" s="931"/>
      <c r="O328" s="931"/>
      <c r="P328" s="931"/>
      <c r="Q328" s="931"/>
      <c r="R328" s="931"/>
    </row>
    <row r="329" spans="1:18" s="328" customFormat="1" ht="13.5" customHeight="1">
      <c r="A329" s="331"/>
      <c r="B329" s="331"/>
      <c r="C329" s="332"/>
      <c r="D329" s="331"/>
      <c r="E329" s="333"/>
      <c r="F329" s="271"/>
      <c r="G329" s="931"/>
      <c r="H329" s="931"/>
      <c r="I329" s="931"/>
      <c r="J329" s="931"/>
      <c r="K329" s="931"/>
      <c r="L329" s="931"/>
      <c r="M329" s="931"/>
      <c r="N329" s="931"/>
      <c r="O329" s="931"/>
      <c r="P329" s="931"/>
      <c r="Q329" s="931"/>
      <c r="R329" s="931"/>
    </row>
    <row r="330" spans="1:18" s="328" customFormat="1" ht="13.5" customHeight="1">
      <c r="A330" s="331"/>
      <c r="B330" s="331"/>
      <c r="C330" s="332"/>
      <c r="D330" s="331"/>
      <c r="E330" s="333"/>
      <c r="F330" s="271"/>
      <c r="G330" s="931"/>
      <c r="H330" s="931"/>
      <c r="I330" s="931"/>
      <c r="J330" s="931"/>
      <c r="K330" s="931"/>
      <c r="L330" s="931"/>
      <c r="M330" s="931"/>
      <c r="N330" s="931"/>
      <c r="O330" s="931"/>
      <c r="P330" s="931"/>
      <c r="Q330" s="931"/>
      <c r="R330" s="931"/>
    </row>
    <row r="331" spans="1:18" s="328" customFormat="1" ht="13.5" customHeight="1">
      <c r="A331" s="331"/>
      <c r="B331" s="331"/>
      <c r="C331" s="332"/>
      <c r="D331" s="331"/>
      <c r="E331" s="333"/>
      <c r="F331" s="271"/>
      <c r="G331" s="931"/>
      <c r="H331" s="931"/>
      <c r="I331" s="931"/>
      <c r="J331" s="931"/>
      <c r="K331" s="931"/>
      <c r="L331" s="931"/>
      <c r="M331" s="931"/>
      <c r="N331" s="931"/>
      <c r="O331" s="931"/>
      <c r="P331" s="931"/>
      <c r="Q331" s="931"/>
      <c r="R331" s="931"/>
    </row>
    <row r="332" spans="1:18" s="328" customFormat="1" ht="13.5" customHeight="1">
      <c r="A332" s="331"/>
      <c r="B332" s="331"/>
      <c r="C332" s="332"/>
      <c r="D332" s="331"/>
      <c r="E332" s="333"/>
      <c r="F332" s="271"/>
      <c r="G332" s="931"/>
      <c r="H332" s="931"/>
      <c r="I332" s="931"/>
      <c r="J332" s="931"/>
      <c r="K332" s="931"/>
      <c r="L332" s="931"/>
      <c r="M332" s="931"/>
      <c r="N332" s="931"/>
      <c r="O332" s="931"/>
      <c r="P332" s="931"/>
      <c r="Q332" s="931"/>
      <c r="R332" s="931"/>
    </row>
    <row r="333" spans="1:18" s="328" customFormat="1" ht="13.5" customHeight="1">
      <c r="A333" s="331"/>
      <c r="B333" s="331"/>
      <c r="C333" s="332"/>
      <c r="D333" s="331"/>
      <c r="E333" s="333"/>
      <c r="F333" s="271"/>
      <c r="G333" s="931"/>
      <c r="H333" s="931"/>
      <c r="I333" s="931"/>
      <c r="J333" s="931"/>
      <c r="K333" s="931"/>
      <c r="L333" s="931"/>
      <c r="M333" s="931"/>
      <c r="N333" s="931"/>
      <c r="O333" s="931"/>
      <c r="P333" s="931"/>
      <c r="Q333" s="931"/>
      <c r="R333" s="931"/>
    </row>
    <row r="334" spans="1:18" s="328" customFormat="1" ht="13.5" customHeight="1">
      <c r="A334" s="331"/>
      <c r="B334" s="331"/>
      <c r="C334" s="332"/>
      <c r="D334" s="331"/>
      <c r="E334" s="333"/>
      <c r="F334" s="271"/>
      <c r="G334" s="931"/>
      <c r="H334" s="931"/>
      <c r="I334" s="931"/>
      <c r="J334" s="931"/>
      <c r="K334" s="931"/>
      <c r="L334" s="931"/>
      <c r="M334" s="931"/>
      <c r="N334" s="931"/>
      <c r="O334" s="931"/>
      <c r="P334" s="931"/>
      <c r="Q334" s="931"/>
      <c r="R334" s="931"/>
    </row>
    <row r="335" spans="1:18" s="328" customFormat="1" ht="13.5" customHeight="1">
      <c r="A335" s="331"/>
      <c r="B335" s="331"/>
      <c r="C335" s="332"/>
      <c r="D335" s="331"/>
      <c r="E335" s="333"/>
      <c r="F335" s="271"/>
      <c r="G335" s="931"/>
      <c r="H335" s="931"/>
      <c r="I335" s="931"/>
      <c r="J335" s="931"/>
      <c r="K335" s="931"/>
      <c r="L335" s="931"/>
      <c r="M335" s="931"/>
      <c r="N335" s="931"/>
      <c r="O335" s="931"/>
      <c r="P335" s="931"/>
      <c r="Q335" s="931"/>
      <c r="R335" s="931"/>
    </row>
    <row r="336" spans="1:18" s="328" customFormat="1" ht="13.5" customHeight="1">
      <c r="A336" s="331"/>
      <c r="B336" s="331"/>
      <c r="C336" s="332"/>
      <c r="D336" s="331"/>
      <c r="E336" s="333"/>
      <c r="F336" s="271"/>
      <c r="G336" s="931"/>
      <c r="H336" s="931"/>
      <c r="I336" s="931"/>
      <c r="J336" s="931"/>
      <c r="K336" s="931"/>
      <c r="L336" s="931"/>
      <c r="M336" s="931"/>
      <c r="N336" s="931"/>
      <c r="O336" s="931"/>
      <c r="P336" s="931"/>
      <c r="Q336" s="931"/>
      <c r="R336" s="931"/>
    </row>
    <row r="337" spans="1:18" s="328" customFormat="1" ht="13.5" customHeight="1">
      <c r="A337" s="331"/>
      <c r="B337" s="331"/>
      <c r="C337" s="332"/>
      <c r="D337" s="331"/>
      <c r="E337" s="333"/>
      <c r="F337" s="271"/>
      <c r="G337" s="931"/>
      <c r="H337" s="931"/>
      <c r="I337" s="931"/>
      <c r="J337" s="931"/>
      <c r="K337" s="931"/>
      <c r="L337" s="931"/>
      <c r="M337" s="931"/>
      <c r="N337" s="931"/>
      <c r="O337" s="931"/>
      <c r="P337" s="931"/>
      <c r="Q337" s="931"/>
      <c r="R337" s="931"/>
    </row>
    <row r="338" spans="1:18" s="328" customFormat="1" ht="13.5" customHeight="1">
      <c r="A338" s="331"/>
      <c r="B338" s="331"/>
      <c r="C338" s="332"/>
      <c r="D338" s="331"/>
      <c r="E338" s="333"/>
      <c r="F338" s="271"/>
      <c r="G338" s="931"/>
      <c r="H338" s="931"/>
      <c r="I338" s="931"/>
      <c r="J338" s="931"/>
      <c r="K338" s="931"/>
      <c r="L338" s="931"/>
      <c r="M338" s="931"/>
      <c r="N338" s="931"/>
      <c r="O338" s="931"/>
      <c r="P338" s="931"/>
      <c r="Q338" s="931"/>
      <c r="R338" s="931"/>
    </row>
    <row r="339" spans="1:18" s="328" customFormat="1" ht="13.5" customHeight="1">
      <c r="A339" s="331"/>
      <c r="B339" s="331"/>
      <c r="C339" s="332"/>
      <c r="D339" s="331"/>
      <c r="E339" s="333"/>
      <c r="F339" s="271"/>
      <c r="G339" s="931"/>
      <c r="H339" s="931"/>
      <c r="I339" s="931"/>
      <c r="J339" s="931"/>
      <c r="K339" s="931"/>
      <c r="L339" s="931"/>
      <c r="M339" s="931"/>
      <c r="N339" s="931"/>
      <c r="O339" s="931"/>
      <c r="P339" s="931"/>
      <c r="Q339" s="931"/>
      <c r="R339" s="931"/>
    </row>
    <row r="340" spans="1:18" s="328" customFormat="1" ht="13.5" customHeight="1">
      <c r="A340" s="331"/>
      <c r="B340" s="331"/>
      <c r="C340" s="332"/>
      <c r="D340" s="331"/>
      <c r="E340" s="333"/>
      <c r="F340" s="271"/>
      <c r="G340" s="931"/>
      <c r="H340" s="931"/>
      <c r="I340" s="931"/>
      <c r="J340" s="931"/>
      <c r="K340" s="931"/>
      <c r="L340" s="931"/>
      <c r="M340" s="931"/>
      <c r="N340" s="931"/>
      <c r="O340" s="931"/>
      <c r="P340" s="931"/>
      <c r="Q340" s="931"/>
      <c r="R340" s="931"/>
    </row>
    <row r="341" spans="1:18" s="328" customFormat="1" ht="13.5" customHeight="1">
      <c r="A341" s="331"/>
      <c r="B341" s="331"/>
      <c r="C341" s="332"/>
      <c r="D341" s="331"/>
      <c r="E341" s="333"/>
      <c r="F341" s="271"/>
      <c r="G341" s="931"/>
      <c r="H341" s="931"/>
      <c r="I341" s="931"/>
      <c r="J341" s="931"/>
      <c r="K341" s="931"/>
      <c r="L341" s="931"/>
      <c r="M341" s="931"/>
      <c r="N341" s="931"/>
      <c r="O341" s="931"/>
      <c r="P341" s="931"/>
      <c r="Q341" s="931"/>
      <c r="R341" s="931"/>
    </row>
    <row r="342" spans="1:18" s="328" customFormat="1" ht="13.5" customHeight="1">
      <c r="A342" s="331"/>
      <c r="B342" s="331"/>
      <c r="C342" s="332"/>
      <c r="D342" s="331"/>
      <c r="E342" s="333"/>
      <c r="F342" s="271"/>
      <c r="G342" s="931"/>
      <c r="H342" s="931"/>
      <c r="I342" s="931"/>
      <c r="J342" s="931"/>
      <c r="K342" s="931"/>
      <c r="L342" s="931"/>
      <c r="M342" s="931"/>
      <c r="N342" s="931"/>
      <c r="O342" s="931"/>
      <c r="P342" s="931"/>
      <c r="Q342" s="931"/>
      <c r="R342" s="931"/>
    </row>
    <row r="343" spans="1:18" s="328" customFormat="1" ht="13.5" customHeight="1">
      <c r="A343" s="331"/>
      <c r="B343" s="331"/>
      <c r="C343" s="332"/>
      <c r="D343" s="331"/>
      <c r="E343" s="333"/>
      <c r="F343" s="271"/>
      <c r="G343" s="931"/>
      <c r="H343" s="931"/>
      <c r="I343" s="931"/>
      <c r="J343" s="931"/>
      <c r="K343" s="931"/>
      <c r="L343" s="931"/>
      <c r="M343" s="931"/>
      <c r="N343" s="931"/>
      <c r="O343" s="931"/>
      <c r="P343" s="931"/>
      <c r="Q343" s="931"/>
      <c r="R343" s="931"/>
    </row>
    <row r="344" spans="1:18" s="328" customFormat="1" ht="13.5" customHeight="1">
      <c r="A344" s="331"/>
      <c r="B344" s="331"/>
      <c r="C344" s="332"/>
      <c r="D344" s="331"/>
      <c r="E344" s="333"/>
      <c r="F344" s="271"/>
      <c r="G344" s="931"/>
      <c r="H344" s="931"/>
      <c r="I344" s="931"/>
      <c r="J344" s="931"/>
      <c r="K344" s="931"/>
      <c r="L344" s="931"/>
      <c r="M344" s="931"/>
      <c r="N344" s="931"/>
      <c r="O344" s="931"/>
      <c r="P344" s="931"/>
      <c r="Q344" s="931"/>
      <c r="R344" s="931"/>
    </row>
    <row r="345" spans="1:18" s="328" customFormat="1" ht="13.5" customHeight="1">
      <c r="A345" s="331"/>
      <c r="B345" s="331"/>
      <c r="C345" s="332"/>
      <c r="D345" s="331"/>
      <c r="E345" s="333"/>
      <c r="F345" s="27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</row>
    <row r="346" spans="1:18" s="328" customFormat="1" ht="13.5" customHeight="1">
      <c r="A346" s="331"/>
      <c r="B346" s="331"/>
      <c r="C346" s="332"/>
      <c r="D346" s="331"/>
      <c r="E346" s="333"/>
      <c r="F346" s="271"/>
      <c r="G346" s="931"/>
      <c r="H346" s="931"/>
      <c r="I346" s="931"/>
      <c r="J346" s="931"/>
      <c r="K346" s="931"/>
      <c r="L346" s="931"/>
      <c r="M346" s="931"/>
      <c r="N346" s="931"/>
      <c r="O346" s="931"/>
      <c r="P346" s="931"/>
      <c r="Q346" s="931"/>
      <c r="R346" s="931"/>
    </row>
    <row r="347" spans="1:18" s="328" customFormat="1" ht="13.5" customHeight="1">
      <c r="A347" s="331"/>
      <c r="B347" s="331"/>
      <c r="C347" s="332"/>
      <c r="D347" s="331"/>
      <c r="E347" s="333"/>
      <c r="F347" s="271"/>
      <c r="G347" s="931"/>
      <c r="H347" s="931"/>
      <c r="I347" s="931"/>
      <c r="J347" s="931"/>
      <c r="K347" s="931"/>
      <c r="L347" s="931"/>
      <c r="M347" s="931"/>
      <c r="N347" s="931"/>
      <c r="O347" s="931"/>
      <c r="P347" s="931"/>
      <c r="Q347" s="931"/>
      <c r="R347" s="931"/>
    </row>
    <row r="348" spans="1:18" s="328" customFormat="1" ht="13.5" customHeight="1">
      <c r="A348" s="331"/>
      <c r="B348" s="331"/>
      <c r="C348" s="332"/>
      <c r="D348" s="331"/>
      <c r="E348" s="333"/>
      <c r="F348" s="271"/>
      <c r="G348" s="931"/>
      <c r="H348" s="931"/>
      <c r="I348" s="931"/>
      <c r="J348" s="931"/>
      <c r="K348" s="931"/>
      <c r="L348" s="931"/>
      <c r="M348" s="931"/>
      <c r="N348" s="931"/>
      <c r="O348" s="931"/>
      <c r="P348" s="931"/>
      <c r="Q348" s="931"/>
      <c r="R348" s="931"/>
    </row>
    <row r="349" spans="1:18" s="328" customFormat="1" ht="13.5" customHeight="1">
      <c r="A349" s="331"/>
      <c r="B349" s="331"/>
      <c r="C349" s="332"/>
      <c r="D349" s="331"/>
      <c r="E349" s="333"/>
      <c r="F349" s="271"/>
      <c r="G349" s="931"/>
      <c r="H349" s="931"/>
      <c r="I349" s="931"/>
      <c r="J349" s="931"/>
      <c r="K349" s="931"/>
      <c r="L349" s="931"/>
      <c r="M349" s="931"/>
      <c r="N349" s="931"/>
      <c r="O349" s="931"/>
      <c r="P349" s="931"/>
      <c r="Q349" s="931"/>
      <c r="R349" s="931"/>
    </row>
    <row r="350" spans="1:18" s="328" customFormat="1" ht="13.5" customHeight="1">
      <c r="A350" s="331"/>
      <c r="B350" s="331"/>
      <c r="C350" s="332"/>
      <c r="D350" s="331"/>
      <c r="E350" s="333"/>
      <c r="F350" s="271"/>
      <c r="G350" s="931"/>
      <c r="H350" s="931"/>
      <c r="I350" s="931"/>
      <c r="J350" s="931"/>
      <c r="K350" s="931"/>
      <c r="L350" s="931"/>
      <c r="M350" s="931"/>
      <c r="N350" s="931"/>
      <c r="O350" s="931"/>
      <c r="P350" s="931"/>
      <c r="Q350" s="931"/>
      <c r="R350" s="931"/>
    </row>
    <row r="351" spans="1:18" s="328" customFormat="1" ht="13.5" customHeight="1">
      <c r="A351" s="331"/>
      <c r="B351" s="331"/>
      <c r="C351" s="332"/>
      <c r="D351" s="331"/>
      <c r="E351" s="333"/>
      <c r="F351" s="271"/>
      <c r="G351" s="931"/>
      <c r="H351" s="931"/>
      <c r="I351" s="931"/>
      <c r="J351" s="931"/>
      <c r="K351" s="931"/>
      <c r="L351" s="931"/>
      <c r="M351" s="931"/>
      <c r="N351" s="931"/>
      <c r="O351" s="931"/>
      <c r="P351" s="931"/>
      <c r="Q351" s="931"/>
      <c r="R351" s="931"/>
    </row>
    <row r="352" spans="1:18" s="328" customFormat="1" ht="13.5" customHeight="1">
      <c r="A352" s="331"/>
      <c r="B352" s="331"/>
      <c r="C352" s="332"/>
      <c r="D352" s="331"/>
      <c r="E352" s="333"/>
      <c r="F352" s="271"/>
      <c r="G352" s="931"/>
      <c r="H352" s="931"/>
      <c r="I352" s="931"/>
      <c r="J352" s="931"/>
      <c r="K352" s="931"/>
      <c r="L352" s="931"/>
      <c r="M352" s="931"/>
      <c r="N352" s="931"/>
      <c r="O352" s="931"/>
      <c r="P352" s="931"/>
      <c r="Q352" s="931"/>
      <c r="R352" s="931"/>
    </row>
    <row r="353" spans="1:18" s="328" customFormat="1" ht="13.5" customHeight="1">
      <c r="A353" s="331"/>
      <c r="B353" s="331"/>
      <c r="C353" s="332"/>
      <c r="D353" s="331"/>
      <c r="E353" s="333"/>
      <c r="F353" s="271"/>
      <c r="G353" s="931"/>
      <c r="H353" s="931"/>
      <c r="I353" s="931"/>
      <c r="J353" s="931"/>
      <c r="K353" s="931"/>
      <c r="L353" s="931"/>
      <c r="M353" s="931"/>
      <c r="N353" s="931"/>
      <c r="O353" s="931"/>
      <c r="P353" s="931"/>
      <c r="Q353" s="931"/>
      <c r="R353" s="931"/>
    </row>
    <row r="354" spans="1:18" s="328" customFormat="1" ht="13.5" customHeight="1">
      <c r="A354" s="331"/>
      <c r="B354" s="331"/>
      <c r="C354" s="332"/>
      <c r="D354" s="331"/>
      <c r="E354" s="333"/>
      <c r="F354" s="271"/>
      <c r="G354" s="931"/>
      <c r="H354" s="931"/>
      <c r="I354" s="931"/>
      <c r="J354" s="931"/>
      <c r="K354" s="931"/>
      <c r="L354" s="931"/>
      <c r="M354" s="931"/>
      <c r="N354" s="931"/>
      <c r="O354" s="931"/>
      <c r="P354" s="931"/>
      <c r="Q354" s="931"/>
      <c r="R354" s="931"/>
    </row>
    <row r="355" spans="1:18" s="328" customFormat="1" ht="13.5" customHeight="1">
      <c r="A355" s="331"/>
      <c r="B355" s="331"/>
      <c r="C355" s="332"/>
      <c r="D355" s="331"/>
      <c r="E355" s="333"/>
      <c r="F355" s="271"/>
      <c r="G355" s="931"/>
      <c r="H355" s="931"/>
      <c r="I355" s="931"/>
      <c r="J355" s="931"/>
      <c r="K355" s="931"/>
      <c r="L355" s="931"/>
      <c r="M355" s="931"/>
      <c r="N355" s="931"/>
      <c r="O355" s="931"/>
      <c r="P355" s="931"/>
      <c r="Q355" s="931"/>
      <c r="R355" s="931"/>
    </row>
    <row r="356" spans="1:18" s="328" customFormat="1" ht="13.5" customHeight="1">
      <c r="A356" s="331"/>
      <c r="B356" s="331"/>
      <c r="C356" s="332"/>
      <c r="D356" s="331"/>
      <c r="E356" s="333"/>
      <c r="F356" s="271"/>
      <c r="G356" s="931"/>
      <c r="H356" s="931"/>
      <c r="I356" s="931"/>
      <c r="J356" s="931"/>
      <c r="K356" s="931"/>
      <c r="L356" s="931"/>
      <c r="M356" s="931"/>
      <c r="N356" s="931"/>
      <c r="O356" s="931"/>
      <c r="P356" s="931"/>
      <c r="Q356" s="931"/>
      <c r="R356" s="931"/>
    </row>
    <row r="357" spans="1:18" s="328" customFormat="1" ht="13.5" customHeight="1">
      <c r="A357" s="331"/>
      <c r="B357" s="331"/>
      <c r="C357" s="332"/>
      <c r="D357" s="331"/>
      <c r="E357" s="333"/>
      <c r="F357" s="271"/>
      <c r="G357" s="931"/>
      <c r="H357" s="931"/>
      <c r="I357" s="931"/>
      <c r="J357" s="931"/>
      <c r="K357" s="931"/>
      <c r="L357" s="931"/>
      <c r="M357" s="931"/>
      <c r="N357" s="931"/>
      <c r="O357" s="931"/>
      <c r="P357" s="931"/>
      <c r="Q357" s="931"/>
      <c r="R357" s="931"/>
    </row>
    <row r="358" spans="1:18" s="328" customFormat="1" ht="13.5" customHeight="1">
      <c r="A358" s="331"/>
      <c r="B358" s="331"/>
      <c r="C358" s="332"/>
      <c r="D358" s="331"/>
      <c r="E358" s="333"/>
      <c r="F358" s="271"/>
      <c r="G358" s="931"/>
      <c r="H358" s="931"/>
      <c r="I358" s="931"/>
      <c r="J358" s="931"/>
      <c r="K358" s="931"/>
      <c r="L358" s="931"/>
      <c r="M358" s="931"/>
      <c r="N358" s="931"/>
      <c r="O358" s="931"/>
      <c r="P358" s="931"/>
      <c r="Q358" s="931"/>
      <c r="R358" s="931"/>
    </row>
    <row r="359" spans="1:18" s="328" customFormat="1" ht="13.5" customHeight="1">
      <c r="A359" s="331"/>
      <c r="B359" s="331"/>
      <c r="C359" s="332"/>
      <c r="D359" s="331"/>
      <c r="E359" s="333"/>
      <c r="F359" s="271"/>
      <c r="G359" s="931"/>
      <c r="H359" s="931"/>
      <c r="I359" s="931"/>
      <c r="J359" s="931"/>
      <c r="K359" s="931"/>
      <c r="L359" s="931"/>
      <c r="M359" s="931"/>
      <c r="N359" s="931"/>
      <c r="O359" s="931"/>
      <c r="P359" s="931"/>
      <c r="Q359" s="931"/>
      <c r="R359" s="931"/>
    </row>
    <row r="360" spans="1:18" s="328" customFormat="1" ht="13.5" customHeight="1">
      <c r="A360" s="331"/>
      <c r="B360" s="331"/>
      <c r="C360" s="332"/>
      <c r="D360" s="331"/>
      <c r="E360" s="333"/>
      <c r="F360" s="271"/>
      <c r="G360" s="931"/>
      <c r="H360" s="931"/>
      <c r="I360" s="931"/>
      <c r="J360" s="931"/>
      <c r="K360" s="931"/>
      <c r="L360" s="931"/>
      <c r="M360" s="931"/>
      <c r="N360" s="931"/>
      <c r="O360" s="931"/>
      <c r="P360" s="931"/>
      <c r="Q360" s="931"/>
      <c r="R360" s="931"/>
    </row>
    <row r="361" spans="1:18" s="328" customFormat="1" ht="13.5" customHeight="1">
      <c r="A361" s="331"/>
      <c r="B361" s="331"/>
      <c r="C361" s="332"/>
      <c r="D361" s="331"/>
      <c r="E361" s="333"/>
      <c r="F361" s="271"/>
      <c r="G361" s="931"/>
      <c r="H361" s="931"/>
      <c r="I361" s="931"/>
      <c r="J361" s="931"/>
      <c r="K361" s="931"/>
      <c r="L361" s="931"/>
      <c r="M361" s="931"/>
      <c r="N361" s="931"/>
      <c r="O361" s="931"/>
      <c r="P361" s="931"/>
      <c r="Q361" s="931"/>
      <c r="R361" s="931"/>
    </row>
    <row r="362" spans="1:18" s="328" customFormat="1" ht="13.5" customHeight="1">
      <c r="A362" s="331"/>
      <c r="B362" s="331"/>
      <c r="C362" s="332"/>
      <c r="D362" s="331"/>
      <c r="E362" s="333"/>
      <c r="F362" s="271"/>
      <c r="G362" s="931"/>
      <c r="H362" s="931"/>
      <c r="I362" s="931"/>
      <c r="J362" s="931"/>
      <c r="K362" s="931"/>
      <c r="L362" s="931"/>
      <c r="M362" s="931"/>
      <c r="N362" s="931"/>
      <c r="O362" s="931"/>
      <c r="P362" s="931"/>
      <c r="Q362" s="931"/>
      <c r="R362" s="931"/>
    </row>
    <row r="363" spans="1:18" s="328" customFormat="1" ht="13.5" customHeight="1">
      <c r="A363" s="331"/>
      <c r="B363" s="331"/>
      <c r="C363" s="332"/>
      <c r="D363" s="331"/>
      <c r="E363" s="333"/>
      <c r="F363" s="271"/>
      <c r="G363" s="931"/>
      <c r="H363" s="931"/>
      <c r="I363" s="931"/>
      <c r="J363" s="931"/>
      <c r="K363" s="931"/>
      <c r="L363" s="931"/>
      <c r="M363" s="931"/>
      <c r="N363" s="931"/>
      <c r="O363" s="931"/>
      <c r="P363" s="931"/>
      <c r="Q363" s="931"/>
      <c r="R363" s="931"/>
    </row>
    <row r="364" spans="1:18" s="328" customFormat="1" ht="13.5" customHeight="1">
      <c r="A364" s="331"/>
      <c r="B364" s="331"/>
      <c r="C364" s="332"/>
      <c r="D364" s="331"/>
      <c r="E364" s="333"/>
      <c r="F364" s="271"/>
      <c r="G364" s="931"/>
      <c r="H364" s="931"/>
      <c r="I364" s="931"/>
      <c r="J364" s="931"/>
      <c r="K364" s="931"/>
      <c r="L364" s="931"/>
      <c r="M364" s="931"/>
      <c r="N364" s="931"/>
      <c r="O364" s="931"/>
      <c r="P364" s="931"/>
      <c r="Q364" s="931"/>
      <c r="R364" s="931"/>
    </row>
    <row r="365" spans="1:18" s="328" customFormat="1" ht="13.5" customHeight="1">
      <c r="A365" s="331"/>
      <c r="B365" s="331"/>
      <c r="C365" s="332"/>
      <c r="D365" s="331"/>
      <c r="E365" s="333"/>
      <c r="F365" s="271"/>
      <c r="G365" s="931"/>
      <c r="H365" s="931"/>
      <c r="I365" s="931"/>
      <c r="J365" s="931"/>
      <c r="K365" s="931"/>
      <c r="L365" s="931"/>
      <c r="M365" s="931"/>
      <c r="N365" s="931"/>
      <c r="O365" s="931"/>
      <c r="P365" s="931"/>
      <c r="Q365" s="931"/>
      <c r="R365" s="931"/>
    </row>
    <row r="366" spans="1:18" s="328" customFormat="1" ht="13.5" customHeight="1">
      <c r="A366" s="331"/>
      <c r="B366" s="331"/>
      <c r="C366" s="332"/>
      <c r="D366" s="331"/>
      <c r="E366" s="333"/>
      <c r="F366" s="271"/>
      <c r="G366" s="931"/>
      <c r="H366" s="931"/>
      <c r="I366" s="931"/>
      <c r="J366" s="931"/>
      <c r="K366" s="931"/>
      <c r="L366" s="931"/>
      <c r="M366" s="931"/>
      <c r="N366" s="931"/>
      <c r="O366" s="931"/>
      <c r="P366" s="931"/>
      <c r="Q366" s="931"/>
      <c r="R366" s="931"/>
    </row>
    <row r="367" spans="1:18" s="328" customFormat="1" ht="13.5" customHeight="1">
      <c r="A367" s="331"/>
      <c r="B367" s="331"/>
      <c r="C367" s="332"/>
      <c r="D367" s="331"/>
      <c r="E367" s="333"/>
      <c r="F367" s="271"/>
      <c r="G367" s="931"/>
      <c r="H367" s="931"/>
      <c r="I367" s="931"/>
      <c r="J367" s="931"/>
      <c r="K367" s="931"/>
      <c r="L367" s="931"/>
      <c r="M367" s="931"/>
      <c r="N367" s="931"/>
      <c r="O367" s="931"/>
      <c r="P367" s="931"/>
      <c r="Q367" s="931"/>
      <c r="R367" s="931"/>
    </row>
    <row r="368" spans="1:18" s="328" customFormat="1" ht="13.5" customHeight="1">
      <c r="A368" s="331"/>
      <c r="B368" s="331"/>
      <c r="C368" s="332"/>
      <c r="D368" s="331"/>
      <c r="E368" s="333"/>
      <c r="F368" s="271"/>
      <c r="G368" s="931"/>
      <c r="H368" s="931"/>
      <c r="I368" s="931"/>
      <c r="J368" s="931"/>
      <c r="K368" s="931"/>
      <c r="L368" s="931"/>
      <c r="M368" s="931"/>
      <c r="N368" s="931"/>
      <c r="O368" s="931"/>
      <c r="P368" s="931"/>
      <c r="Q368" s="931"/>
      <c r="R368" s="931"/>
    </row>
    <row r="369" spans="1:18" s="328" customFormat="1" ht="13.5" customHeight="1">
      <c r="A369" s="331"/>
      <c r="B369" s="331"/>
      <c r="C369" s="332"/>
      <c r="D369" s="331"/>
      <c r="E369" s="333"/>
      <c r="F369" s="271"/>
      <c r="G369" s="931"/>
      <c r="H369" s="931"/>
      <c r="I369" s="931"/>
      <c r="J369" s="931"/>
      <c r="K369" s="931"/>
      <c r="L369" s="931"/>
      <c r="M369" s="931"/>
      <c r="N369" s="931"/>
      <c r="O369" s="931"/>
      <c r="P369" s="931"/>
      <c r="Q369" s="931"/>
      <c r="R369" s="931"/>
    </row>
    <row r="370" spans="1:18" s="328" customFormat="1" ht="13.5" customHeight="1">
      <c r="A370" s="331"/>
      <c r="B370" s="331"/>
      <c r="C370" s="332"/>
      <c r="D370" s="331"/>
      <c r="E370" s="333"/>
      <c r="F370" s="271"/>
      <c r="G370" s="931"/>
      <c r="H370" s="931"/>
      <c r="I370" s="931"/>
      <c r="J370" s="931"/>
      <c r="K370" s="931"/>
      <c r="L370" s="931"/>
      <c r="M370" s="931"/>
      <c r="N370" s="931"/>
      <c r="O370" s="931"/>
      <c r="P370" s="931"/>
      <c r="Q370" s="931"/>
      <c r="R370" s="931"/>
    </row>
    <row r="371" spans="1:18" s="328" customFormat="1" ht="13.5" customHeight="1">
      <c r="A371" s="331"/>
      <c r="B371" s="331"/>
      <c r="C371" s="332"/>
      <c r="D371" s="331"/>
      <c r="E371" s="333"/>
      <c r="F371" s="271"/>
      <c r="G371" s="931"/>
      <c r="H371" s="931"/>
      <c r="I371" s="931"/>
      <c r="J371" s="931"/>
      <c r="K371" s="931"/>
      <c r="L371" s="931"/>
      <c r="M371" s="931"/>
      <c r="N371" s="931"/>
      <c r="O371" s="931"/>
      <c r="P371" s="931"/>
      <c r="Q371" s="931"/>
      <c r="R371" s="931"/>
    </row>
    <row r="372" spans="1:18" s="328" customFormat="1" ht="13.5" customHeight="1">
      <c r="A372" s="331"/>
      <c r="B372" s="331"/>
      <c r="C372" s="332"/>
      <c r="D372" s="331"/>
      <c r="E372" s="333"/>
      <c r="F372" s="271"/>
      <c r="G372" s="931"/>
      <c r="H372" s="931"/>
      <c r="I372" s="931"/>
      <c r="J372" s="931"/>
      <c r="K372" s="931"/>
      <c r="L372" s="931"/>
      <c r="M372" s="931"/>
      <c r="N372" s="931"/>
      <c r="O372" s="931"/>
      <c r="P372" s="931"/>
      <c r="Q372" s="931"/>
      <c r="R372" s="931"/>
    </row>
    <row r="373" spans="1:18" s="328" customFormat="1" ht="13.5" customHeight="1">
      <c r="A373" s="331"/>
      <c r="B373" s="331"/>
      <c r="C373" s="332"/>
      <c r="D373" s="331"/>
      <c r="E373" s="333"/>
      <c r="F373" s="271"/>
      <c r="G373" s="931"/>
      <c r="H373" s="931"/>
      <c r="I373" s="931"/>
      <c r="J373" s="931"/>
      <c r="K373" s="931"/>
      <c r="L373" s="931"/>
      <c r="M373" s="931"/>
      <c r="N373" s="931"/>
      <c r="O373" s="931"/>
      <c r="P373" s="931"/>
      <c r="Q373" s="931"/>
      <c r="R373" s="931"/>
    </row>
    <row r="374" spans="1:18" s="328" customFormat="1" ht="13.5" customHeight="1">
      <c r="A374" s="331"/>
      <c r="B374" s="331"/>
      <c r="C374" s="332"/>
      <c r="D374" s="331"/>
      <c r="E374" s="333"/>
      <c r="F374" s="271"/>
      <c r="G374" s="931"/>
      <c r="H374" s="931"/>
      <c r="I374" s="931"/>
      <c r="J374" s="931"/>
      <c r="K374" s="931"/>
      <c r="L374" s="931"/>
      <c r="M374" s="931"/>
      <c r="N374" s="931"/>
      <c r="O374" s="931"/>
      <c r="P374" s="931"/>
      <c r="Q374" s="931"/>
      <c r="R374" s="931"/>
    </row>
    <row r="375" spans="1:18" s="328" customFormat="1" ht="13.5" customHeight="1">
      <c r="A375" s="331"/>
      <c r="B375" s="331"/>
      <c r="C375" s="332"/>
      <c r="D375" s="331"/>
      <c r="E375" s="333"/>
      <c r="F375" s="271"/>
      <c r="G375" s="931"/>
      <c r="H375" s="931"/>
      <c r="I375" s="931"/>
      <c r="J375" s="931"/>
      <c r="K375" s="931"/>
      <c r="L375" s="931"/>
      <c r="M375" s="931"/>
      <c r="N375" s="931"/>
      <c r="O375" s="931"/>
      <c r="P375" s="931"/>
      <c r="Q375" s="931"/>
      <c r="R375" s="931"/>
    </row>
    <row r="376" spans="1:18" s="328" customFormat="1" ht="13.5" customHeight="1">
      <c r="A376" s="331"/>
      <c r="B376" s="331"/>
      <c r="C376" s="332"/>
      <c r="D376" s="331"/>
      <c r="E376" s="333"/>
      <c r="F376" s="271"/>
      <c r="G376" s="931"/>
      <c r="H376" s="931"/>
      <c r="I376" s="931"/>
      <c r="J376" s="931"/>
      <c r="K376" s="931"/>
      <c r="L376" s="931"/>
      <c r="M376" s="931"/>
      <c r="N376" s="931"/>
      <c r="O376" s="931"/>
      <c r="P376" s="931"/>
      <c r="Q376" s="931"/>
      <c r="R376" s="931"/>
    </row>
    <row r="377" spans="1:18" s="328" customFormat="1" ht="13.5" customHeight="1">
      <c r="A377" s="331"/>
      <c r="B377" s="331"/>
      <c r="C377" s="332"/>
      <c r="D377" s="331"/>
      <c r="E377" s="333"/>
      <c r="F377" s="271"/>
      <c r="G377" s="931"/>
      <c r="H377" s="931"/>
      <c r="I377" s="931"/>
      <c r="J377" s="931"/>
      <c r="K377" s="931"/>
      <c r="L377" s="931"/>
      <c r="M377" s="931"/>
      <c r="N377" s="931"/>
      <c r="O377" s="931"/>
      <c r="P377" s="931"/>
      <c r="Q377" s="931"/>
      <c r="R377" s="931"/>
    </row>
    <row r="378" spans="1:18" s="328" customFormat="1" ht="13.5" customHeight="1">
      <c r="A378" s="331"/>
      <c r="B378" s="331"/>
      <c r="C378" s="332"/>
      <c r="D378" s="331"/>
      <c r="E378" s="333"/>
      <c r="F378" s="271"/>
      <c r="G378" s="931"/>
      <c r="H378" s="931"/>
      <c r="I378" s="931"/>
      <c r="J378" s="931"/>
      <c r="K378" s="931"/>
      <c r="L378" s="931"/>
      <c r="M378" s="931"/>
      <c r="N378" s="931"/>
      <c r="O378" s="931"/>
      <c r="P378" s="931"/>
      <c r="Q378" s="931"/>
      <c r="R378" s="931"/>
    </row>
    <row r="379" spans="1:18" s="328" customFormat="1" ht="13.5" customHeight="1">
      <c r="A379" s="331"/>
      <c r="B379" s="331"/>
      <c r="C379" s="332"/>
      <c r="D379" s="331"/>
      <c r="E379" s="333"/>
      <c r="F379" s="271"/>
      <c r="G379" s="931"/>
      <c r="H379" s="931"/>
      <c r="I379" s="931"/>
      <c r="J379" s="931"/>
      <c r="K379" s="931"/>
      <c r="L379" s="931"/>
      <c r="M379" s="931"/>
      <c r="N379" s="931"/>
      <c r="O379" s="931"/>
      <c r="P379" s="931"/>
      <c r="Q379" s="931"/>
      <c r="R379" s="931"/>
    </row>
    <row r="380" spans="1:18" s="328" customFormat="1" ht="13.5" customHeight="1">
      <c r="A380" s="331"/>
      <c r="B380" s="331"/>
      <c r="C380" s="332"/>
      <c r="D380" s="331"/>
      <c r="E380" s="333"/>
      <c r="F380" s="271"/>
      <c r="G380" s="931"/>
      <c r="H380" s="931"/>
      <c r="I380" s="931"/>
      <c r="J380" s="931"/>
      <c r="K380" s="931"/>
      <c r="L380" s="931"/>
      <c r="M380" s="931"/>
      <c r="N380" s="931"/>
      <c r="O380" s="931"/>
      <c r="P380" s="931"/>
      <c r="Q380" s="931"/>
      <c r="R380" s="931"/>
    </row>
    <row r="381" spans="1:18" s="328" customFormat="1" ht="13.5" customHeight="1">
      <c r="A381" s="331"/>
      <c r="B381" s="331"/>
      <c r="C381" s="332"/>
      <c r="D381" s="331"/>
      <c r="E381" s="333"/>
      <c r="F381" s="271"/>
      <c r="G381" s="931"/>
      <c r="H381" s="931"/>
      <c r="I381" s="931"/>
      <c r="J381" s="931"/>
      <c r="K381" s="931"/>
      <c r="L381" s="931"/>
      <c r="M381" s="931"/>
      <c r="N381" s="931"/>
      <c r="O381" s="931"/>
      <c r="P381" s="931"/>
      <c r="Q381" s="931"/>
      <c r="R381" s="931"/>
    </row>
    <row r="382" spans="1:18" s="328" customFormat="1" ht="13.5" customHeight="1">
      <c r="A382" s="331"/>
      <c r="B382" s="331"/>
      <c r="C382" s="332"/>
      <c r="D382" s="331"/>
      <c r="E382" s="333"/>
      <c r="F382" s="271"/>
      <c r="G382" s="931"/>
      <c r="H382" s="931"/>
      <c r="I382" s="931"/>
      <c r="J382" s="931"/>
      <c r="K382" s="931"/>
      <c r="L382" s="931"/>
      <c r="M382" s="931"/>
      <c r="N382" s="931"/>
      <c r="O382" s="931"/>
      <c r="P382" s="931"/>
      <c r="Q382" s="931"/>
      <c r="R382" s="931"/>
    </row>
    <row r="383" spans="1:18" s="328" customFormat="1" ht="13.5" customHeight="1">
      <c r="A383" s="331"/>
      <c r="B383" s="331"/>
      <c r="C383" s="332"/>
      <c r="D383" s="331"/>
      <c r="E383" s="333"/>
      <c r="F383" s="271"/>
      <c r="G383" s="931"/>
      <c r="H383" s="931"/>
      <c r="I383" s="931"/>
      <c r="J383" s="931"/>
      <c r="K383" s="931"/>
      <c r="L383" s="931"/>
      <c r="M383" s="931"/>
      <c r="N383" s="931"/>
      <c r="O383" s="931"/>
      <c r="P383" s="931"/>
      <c r="Q383" s="931"/>
      <c r="R383" s="931"/>
    </row>
    <row r="384" spans="1:18" s="328" customFormat="1" ht="13.5" customHeight="1">
      <c r="A384" s="331"/>
      <c r="B384" s="331"/>
      <c r="C384" s="332"/>
      <c r="D384" s="331"/>
      <c r="E384" s="333"/>
      <c r="F384" s="271"/>
      <c r="G384" s="931"/>
      <c r="H384" s="931"/>
      <c r="I384" s="931"/>
      <c r="J384" s="931"/>
      <c r="K384" s="931"/>
      <c r="L384" s="931"/>
      <c r="M384" s="931"/>
      <c r="N384" s="931"/>
      <c r="O384" s="931"/>
      <c r="P384" s="931"/>
      <c r="Q384" s="931"/>
      <c r="R384" s="931"/>
    </row>
    <row r="385" spans="1:18" s="328" customFormat="1" ht="13.5" customHeight="1">
      <c r="A385" s="331"/>
      <c r="B385" s="331"/>
      <c r="C385" s="332"/>
      <c r="D385" s="331"/>
      <c r="E385" s="333"/>
      <c r="F385" s="271"/>
      <c r="G385" s="931"/>
      <c r="H385" s="931"/>
      <c r="I385" s="931"/>
      <c r="J385" s="931"/>
      <c r="K385" s="931"/>
      <c r="L385" s="931"/>
      <c r="M385" s="931"/>
      <c r="N385" s="931"/>
      <c r="O385" s="931"/>
      <c r="P385" s="931"/>
      <c r="Q385" s="931"/>
      <c r="R385" s="931"/>
    </row>
    <row r="386" spans="1:18" s="328" customFormat="1" ht="13.5" customHeight="1">
      <c r="A386" s="331"/>
      <c r="B386" s="331"/>
      <c r="C386" s="332"/>
      <c r="D386" s="331"/>
      <c r="E386" s="333"/>
      <c r="F386" s="271"/>
      <c r="G386" s="931"/>
      <c r="H386" s="931"/>
      <c r="I386" s="931"/>
      <c r="J386" s="931"/>
      <c r="K386" s="931"/>
      <c r="L386" s="931"/>
      <c r="M386" s="931"/>
      <c r="N386" s="931"/>
      <c r="O386" s="931"/>
      <c r="P386" s="931"/>
      <c r="Q386" s="931"/>
      <c r="R386" s="931"/>
    </row>
    <row r="387" spans="1:18" s="328" customFormat="1" ht="13.5" customHeight="1">
      <c r="A387" s="331"/>
      <c r="B387" s="331"/>
      <c r="C387" s="332"/>
      <c r="D387" s="331"/>
      <c r="E387" s="333"/>
      <c r="F387" s="271"/>
      <c r="G387" s="931"/>
      <c r="H387" s="931"/>
      <c r="I387" s="931"/>
      <c r="J387" s="931"/>
      <c r="K387" s="931"/>
      <c r="L387" s="931"/>
      <c r="M387" s="931"/>
      <c r="N387" s="931"/>
      <c r="O387" s="931"/>
      <c r="P387" s="931"/>
      <c r="Q387" s="931"/>
      <c r="R387" s="931"/>
    </row>
    <row r="388" spans="1:18" s="328" customFormat="1" ht="13.5" customHeight="1">
      <c r="A388" s="331"/>
      <c r="B388" s="331"/>
      <c r="C388" s="332"/>
      <c r="D388" s="331"/>
      <c r="E388" s="333"/>
      <c r="F388" s="271"/>
      <c r="G388" s="931"/>
      <c r="H388" s="931"/>
      <c r="I388" s="931"/>
      <c r="J388" s="931"/>
      <c r="K388" s="931"/>
      <c r="L388" s="931"/>
      <c r="M388" s="931"/>
      <c r="N388" s="931"/>
      <c r="O388" s="931"/>
      <c r="P388" s="931"/>
      <c r="Q388" s="931"/>
      <c r="R388" s="931"/>
    </row>
    <row r="389" spans="1:18" s="328" customFormat="1" ht="13.5" customHeight="1">
      <c r="A389" s="331"/>
      <c r="B389" s="331"/>
      <c r="C389" s="332"/>
      <c r="D389" s="331"/>
      <c r="E389" s="333"/>
      <c r="F389" s="271"/>
      <c r="G389" s="931"/>
      <c r="H389" s="931"/>
      <c r="I389" s="931"/>
      <c r="J389" s="931"/>
      <c r="K389" s="931"/>
      <c r="L389" s="931"/>
      <c r="M389" s="931"/>
      <c r="N389" s="931"/>
      <c r="O389" s="931"/>
      <c r="P389" s="931"/>
      <c r="Q389" s="931"/>
      <c r="R389" s="931"/>
    </row>
    <row r="390" spans="1:18" s="328" customFormat="1" ht="13.5" customHeight="1">
      <c r="A390" s="331"/>
      <c r="B390" s="331"/>
      <c r="C390" s="332"/>
      <c r="D390" s="331"/>
      <c r="E390" s="333"/>
      <c r="F390" s="271"/>
      <c r="G390" s="931"/>
      <c r="H390" s="931"/>
      <c r="I390" s="931"/>
      <c r="J390" s="931"/>
      <c r="K390" s="931"/>
      <c r="L390" s="931"/>
      <c r="M390" s="931"/>
      <c r="N390" s="931"/>
      <c r="O390" s="931"/>
      <c r="P390" s="931"/>
      <c r="Q390" s="931"/>
      <c r="R390" s="931"/>
    </row>
    <row r="391" spans="1:18" s="328" customFormat="1" ht="13.5" customHeight="1">
      <c r="A391" s="331"/>
      <c r="B391" s="331"/>
      <c r="C391" s="332"/>
      <c r="D391" s="331"/>
      <c r="E391" s="333"/>
      <c r="F391" s="271"/>
      <c r="G391" s="931"/>
      <c r="H391" s="931"/>
      <c r="I391" s="931"/>
      <c r="J391" s="931"/>
      <c r="K391" s="931"/>
      <c r="L391" s="931"/>
      <c r="M391" s="931"/>
      <c r="N391" s="931"/>
      <c r="O391" s="931"/>
      <c r="P391" s="931"/>
      <c r="Q391" s="931"/>
      <c r="R391" s="931"/>
    </row>
    <row r="392" spans="1:18" s="328" customFormat="1" ht="13.5" customHeight="1">
      <c r="A392" s="331"/>
      <c r="B392" s="331"/>
      <c r="C392" s="332"/>
      <c r="D392" s="331"/>
      <c r="E392" s="333"/>
      <c r="F392" s="271"/>
      <c r="G392" s="931"/>
      <c r="H392" s="931"/>
      <c r="I392" s="931"/>
      <c r="J392" s="931"/>
      <c r="K392" s="931"/>
      <c r="L392" s="931"/>
      <c r="M392" s="931"/>
      <c r="N392" s="931"/>
      <c r="O392" s="931"/>
      <c r="P392" s="931"/>
      <c r="Q392" s="931"/>
      <c r="R392" s="931"/>
    </row>
    <row r="393" spans="1:18" s="328" customFormat="1" ht="13.5" customHeight="1">
      <c r="A393" s="331"/>
      <c r="B393" s="331"/>
      <c r="C393" s="332"/>
      <c r="D393" s="331"/>
      <c r="E393" s="333"/>
      <c r="F393" s="271"/>
      <c r="G393" s="931"/>
      <c r="H393" s="931"/>
      <c r="I393" s="931"/>
      <c r="J393" s="931"/>
      <c r="K393" s="931"/>
      <c r="L393" s="931"/>
      <c r="M393" s="931"/>
      <c r="N393" s="931"/>
      <c r="O393" s="931"/>
      <c r="P393" s="931"/>
      <c r="Q393" s="931"/>
      <c r="R393" s="931"/>
    </row>
    <row r="394" spans="1:18" s="328" customFormat="1" ht="13.5" customHeight="1">
      <c r="A394" s="331"/>
      <c r="B394" s="331"/>
      <c r="C394" s="332"/>
      <c r="D394" s="331"/>
      <c r="E394" s="333"/>
      <c r="F394" s="271"/>
      <c r="G394" s="931"/>
      <c r="H394" s="931"/>
      <c r="I394" s="931"/>
      <c r="J394" s="931"/>
      <c r="K394" s="931"/>
      <c r="L394" s="931"/>
      <c r="M394" s="931"/>
      <c r="N394" s="931"/>
      <c r="O394" s="931"/>
      <c r="P394" s="931"/>
      <c r="Q394" s="931"/>
      <c r="R394" s="931"/>
    </row>
    <row r="395" spans="1:18" s="328" customFormat="1" ht="13.5" customHeight="1">
      <c r="A395" s="331"/>
      <c r="B395" s="331"/>
      <c r="C395" s="332"/>
      <c r="D395" s="331"/>
      <c r="E395" s="333"/>
      <c r="F395" s="271"/>
      <c r="G395" s="931"/>
      <c r="H395" s="931"/>
      <c r="I395" s="931"/>
      <c r="J395" s="931"/>
      <c r="K395" s="931"/>
      <c r="L395" s="931"/>
      <c r="M395" s="931"/>
      <c r="N395" s="931"/>
      <c r="O395" s="931"/>
      <c r="P395" s="931"/>
      <c r="Q395" s="931"/>
      <c r="R395" s="931"/>
    </row>
    <row r="396" spans="1:18" s="328" customFormat="1" ht="13.5" customHeight="1">
      <c r="A396" s="331"/>
      <c r="B396" s="331"/>
      <c r="C396" s="332"/>
      <c r="D396" s="331"/>
      <c r="E396" s="333"/>
      <c r="F396" s="271"/>
      <c r="G396" s="931"/>
      <c r="H396" s="931"/>
      <c r="I396" s="931"/>
      <c r="J396" s="931"/>
      <c r="K396" s="931"/>
      <c r="L396" s="931"/>
      <c r="M396" s="931"/>
      <c r="N396" s="931"/>
      <c r="O396" s="931"/>
      <c r="P396" s="931"/>
      <c r="Q396" s="931"/>
      <c r="R396" s="931"/>
    </row>
    <row r="397" spans="1:18" s="328" customFormat="1" ht="13.5" customHeight="1">
      <c r="A397" s="331"/>
      <c r="B397" s="331"/>
      <c r="C397" s="332"/>
      <c r="D397" s="331"/>
      <c r="E397" s="333"/>
      <c r="F397" s="271"/>
      <c r="G397" s="931"/>
      <c r="H397" s="931"/>
      <c r="I397" s="931"/>
      <c r="J397" s="931"/>
      <c r="K397" s="931"/>
      <c r="L397" s="931"/>
      <c r="M397" s="931"/>
      <c r="N397" s="931"/>
      <c r="O397" s="931"/>
      <c r="P397" s="931"/>
      <c r="Q397" s="931"/>
      <c r="R397" s="931"/>
    </row>
    <row r="398" spans="1:18" s="328" customFormat="1" ht="13.5" customHeight="1">
      <c r="A398" s="331"/>
      <c r="B398" s="331"/>
      <c r="C398" s="332"/>
      <c r="D398" s="331"/>
      <c r="E398" s="333"/>
      <c r="F398" s="271"/>
      <c r="G398" s="931"/>
      <c r="H398" s="931"/>
      <c r="I398" s="931"/>
      <c r="J398" s="931"/>
      <c r="K398" s="931"/>
      <c r="L398" s="931"/>
      <c r="M398" s="931"/>
      <c r="N398" s="931"/>
      <c r="O398" s="931"/>
      <c r="P398" s="931"/>
      <c r="Q398" s="931"/>
      <c r="R398" s="931"/>
    </row>
    <row r="399" spans="1:18" s="328" customFormat="1" ht="13.5" customHeight="1">
      <c r="A399" s="331"/>
      <c r="B399" s="331"/>
      <c r="C399" s="332"/>
      <c r="D399" s="331"/>
      <c r="E399" s="333"/>
      <c r="F399" s="271"/>
      <c r="G399" s="931"/>
      <c r="H399" s="931"/>
      <c r="I399" s="931"/>
      <c r="J399" s="931"/>
      <c r="K399" s="931"/>
      <c r="L399" s="931"/>
      <c r="M399" s="931"/>
      <c r="N399" s="931"/>
      <c r="O399" s="931"/>
      <c r="P399" s="931"/>
      <c r="Q399" s="931"/>
      <c r="R399" s="931"/>
    </row>
    <row r="400" spans="1:18" s="328" customFormat="1" ht="13.5" customHeight="1">
      <c r="A400" s="331"/>
      <c r="B400" s="331"/>
      <c r="C400" s="332"/>
      <c r="D400" s="331"/>
      <c r="E400" s="333"/>
      <c r="F400" s="271"/>
      <c r="G400" s="931"/>
      <c r="H400" s="931"/>
      <c r="I400" s="931"/>
      <c r="J400" s="931"/>
      <c r="K400" s="931"/>
      <c r="L400" s="931"/>
      <c r="M400" s="931"/>
      <c r="N400" s="931"/>
      <c r="O400" s="931"/>
      <c r="P400" s="931"/>
      <c r="Q400" s="931"/>
      <c r="R400" s="931"/>
    </row>
    <row r="401" spans="1:18" s="328" customFormat="1" ht="13.5" customHeight="1">
      <c r="A401" s="331"/>
      <c r="B401" s="331"/>
      <c r="C401" s="332"/>
      <c r="D401" s="331"/>
      <c r="E401" s="333"/>
      <c r="F401" s="271"/>
      <c r="G401" s="931"/>
      <c r="H401" s="931"/>
      <c r="I401" s="931"/>
      <c r="J401" s="931"/>
      <c r="K401" s="931"/>
      <c r="L401" s="931"/>
      <c r="M401" s="931"/>
      <c r="N401" s="931"/>
      <c r="O401" s="931"/>
      <c r="P401" s="931"/>
      <c r="Q401" s="931"/>
      <c r="R401" s="931"/>
    </row>
    <row r="402" spans="1:18" s="328" customFormat="1" ht="13.5" customHeight="1">
      <c r="A402" s="331"/>
      <c r="B402" s="331"/>
      <c r="C402" s="332"/>
      <c r="D402" s="331"/>
      <c r="E402" s="333"/>
      <c r="F402" s="271"/>
      <c r="G402" s="931"/>
      <c r="H402" s="931"/>
      <c r="I402" s="931"/>
      <c r="J402" s="931"/>
      <c r="K402" s="931"/>
      <c r="L402" s="931"/>
      <c r="M402" s="931"/>
      <c r="N402" s="931"/>
      <c r="O402" s="931"/>
      <c r="P402" s="931"/>
      <c r="Q402" s="931"/>
      <c r="R402" s="931"/>
    </row>
    <row r="403" spans="1:18" s="328" customFormat="1" ht="13.5" customHeight="1">
      <c r="A403" s="331"/>
      <c r="B403" s="331"/>
      <c r="C403" s="332"/>
      <c r="D403" s="331"/>
      <c r="E403" s="333"/>
      <c r="F403" s="271"/>
      <c r="G403" s="931"/>
      <c r="H403" s="931"/>
      <c r="I403" s="931"/>
      <c r="J403" s="931"/>
      <c r="K403" s="931"/>
      <c r="L403" s="931"/>
      <c r="M403" s="931"/>
      <c r="N403" s="931"/>
      <c r="O403" s="931"/>
      <c r="P403" s="931"/>
      <c r="Q403" s="931"/>
      <c r="R403" s="931"/>
    </row>
    <row r="404" spans="1:18" s="328" customFormat="1" ht="13.5" customHeight="1">
      <c r="A404" s="331"/>
      <c r="B404" s="331"/>
      <c r="C404" s="332"/>
      <c r="D404" s="331"/>
      <c r="E404" s="333"/>
      <c r="F404" s="271"/>
      <c r="G404" s="931"/>
      <c r="H404" s="931"/>
      <c r="I404" s="931"/>
      <c r="J404" s="931"/>
      <c r="K404" s="931"/>
      <c r="L404" s="931"/>
      <c r="M404" s="931"/>
      <c r="N404" s="931"/>
      <c r="O404" s="931"/>
      <c r="P404" s="931"/>
      <c r="Q404" s="931"/>
      <c r="R404" s="931"/>
    </row>
    <row r="405" spans="1:18" s="328" customFormat="1" ht="13.5" customHeight="1">
      <c r="A405" s="331"/>
      <c r="B405" s="331"/>
      <c r="C405" s="332"/>
      <c r="D405" s="331"/>
      <c r="E405" s="333"/>
      <c r="F405" s="271"/>
      <c r="G405" s="931"/>
      <c r="H405" s="931"/>
      <c r="I405" s="931"/>
      <c r="J405" s="931"/>
      <c r="K405" s="931"/>
      <c r="L405" s="931"/>
      <c r="M405" s="931"/>
      <c r="N405" s="931"/>
      <c r="O405" s="931"/>
      <c r="P405" s="931"/>
      <c r="Q405" s="931"/>
      <c r="R405" s="931"/>
    </row>
    <row r="406" spans="1:18" s="328" customFormat="1" ht="13.5" customHeight="1">
      <c r="A406" s="331"/>
      <c r="B406" s="331"/>
      <c r="C406" s="332"/>
      <c r="D406" s="331"/>
      <c r="E406" s="333"/>
      <c r="F406" s="271"/>
      <c r="G406" s="931"/>
      <c r="H406" s="931"/>
      <c r="I406" s="931"/>
      <c r="J406" s="931"/>
      <c r="K406" s="931"/>
      <c r="L406" s="931"/>
      <c r="M406" s="931"/>
      <c r="N406" s="931"/>
      <c r="O406" s="931"/>
      <c r="P406" s="931"/>
      <c r="Q406" s="931"/>
      <c r="R406" s="931"/>
    </row>
    <row r="407" spans="1:18" s="328" customFormat="1" ht="13.5" customHeight="1">
      <c r="A407" s="331"/>
      <c r="B407" s="331"/>
      <c r="C407" s="332"/>
      <c r="D407" s="331"/>
      <c r="E407" s="333"/>
      <c r="F407" s="271"/>
      <c r="G407" s="931"/>
      <c r="H407" s="931"/>
      <c r="I407" s="931"/>
      <c r="J407" s="931"/>
      <c r="K407" s="931"/>
      <c r="L407" s="931"/>
      <c r="M407" s="931"/>
      <c r="N407" s="931"/>
      <c r="O407" s="931"/>
      <c r="P407" s="931"/>
      <c r="Q407" s="931"/>
      <c r="R407" s="931"/>
    </row>
    <row r="408" spans="1:18" s="328" customFormat="1" ht="13.5" customHeight="1">
      <c r="A408" s="331"/>
      <c r="B408" s="331"/>
      <c r="C408" s="332"/>
      <c r="D408" s="331"/>
      <c r="E408" s="333"/>
      <c r="F408" s="271"/>
      <c r="G408" s="931"/>
      <c r="H408" s="931"/>
      <c r="I408" s="931"/>
      <c r="J408" s="931"/>
      <c r="K408" s="931"/>
      <c r="L408" s="931"/>
      <c r="M408" s="931"/>
      <c r="N408" s="931"/>
      <c r="O408" s="931"/>
      <c r="P408" s="931"/>
      <c r="Q408" s="931"/>
      <c r="R408" s="931"/>
    </row>
    <row r="409" spans="1:18" s="328" customFormat="1" ht="13.5" customHeight="1">
      <c r="A409" s="331"/>
      <c r="B409" s="331"/>
      <c r="C409" s="332"/>
      <c r="D409" s="331"/>
      <c r="E409" s="333"/>
      <c r="F409" s="271"/>
      <c r="G409" s="931"/>
      <c r="H409" s="931"/>
      <c r="I409" s="931"/>
      <c r="J409" s="931"/>
      <c r="K409" s="931"/>
      <c r="L409" s="931"/>
      <c r="M409" s="931"/>
      <c r="N409" s="931"/>
      <c r="O409" s="931"/>
      <c r="P409" s="931"/>
      <c r="Q409" s="931"/>
      <c r="R409" s="931"/>
    </row>
    <row r="410" spans="1:18" s="328" customFormat="1" ht="13.5" customHeight="1">
      <c r="A410" s="331"/>
      <c r="B410" s="331"/>
      <c r="C410" s="332"/>
      <c r="D410" s="331"/>
      <c r="E410" s="333"/>
      <c r="F410" s="271"/>
      <c r="G410" s="931"/>
      <c r="H410" s="931"/>
      <c r="I410" s="931"/>
      <c r="J410" s="931"/>
      <c r="K410" s="931"/>
      <c r="L410" s="931"/>
      <c r="M410" s="931"/>
      <c r="N410" s="931"/>
      <c r="O410" s="931"/>
      <c r="P410" s="931"/>
      <c r="Q410" s="931"/>
      <c r="R410" s="931"/>
    </row>
    <row r="411" spans="1:18" s="328" customFormat="1" ht="13.5" customHeight="1">
      <c r="A411" s="331"/>
      <c r="B411" s="331"/>
      <c r="C411" s="332"/>
      <c r="D411" s="331"/>
      <c r="E411" s="333"/>
      <c r="F411" s="271"/>
      <c r="G411" s="931"/>
      <c r="H411" s="931"/>
      <c r="I411" s="931"/>
      <c r="J411" s="931"/>
      <c r="K411" s="931"/>
      <c r="L411" s="931"/>
      <c r="M411" s="931"/>
      <c r="N411" s="931"/>
      <c r="O411" s="931"/>
      <c r="P411" s="931"/>
      <c r="Q411" s="931"/>
      <c r="R411" s="931"/>
    </row>
    <row r="412" spans="1:18" s="328" customFormat="1" ht="13.5" customHeight="1">
      <c r="A412" s="331"/>
      <c r="B412" s="331"/>
      <c r="C412" s="332"/>
      <c r="D412" s="331"/>
      <c r="E412" s="333"/>
      <c r="F412" s="271"/>
      <c r="G412" s="931"/>
      <c r="H412" s="931"/>
      <c r="I412" s="931"/>
      <c r="J412" s="931"/>
      <c r="K412" s="931"/>
      <c r="L412" s="931"/>
      <c r="M412" s="931"/>
      <c r="N412" s="931"/>
      <c r="O412" s="931"/>
      <c r="P412" s="931"/>
      <c r="Q412" s="931"/>
      <c r="R412" s="931"/>
    </row>
    <row r="413" spans="1:18" s="328" customFormat="1" ht="13.5" customHeight="1">
      <c r="A413" s="331"/>
      <c r="B413" s="331"/>
      <c r="C413" s="332"/>
      <c r="D413" s="331"/>
      <c r="E413" s="333"/>
      <c r="F413" s="271"/>
      <c r="G413" s="931"/>
      <c r="H413" s="931"/>
      <c r="I413" s="931"/>
      <c r="J413" s="931"/>
      <c r="K413" s="931"/>
      <c r="L413" s="931"/>
      <c r="M413" s="931"/>
      <c r="N413" s="931"/>
      <c r="O413" s="931"/>
      <c r="P413" s="931"/>
      <c r="Q413" s="931"/>
      <c r="R413" s="931"/>
    </row>
    <row r="414" spans="1:18" s="328" customFormat="1" ht="13.5" customHeight="1">
      <c r="A414" s="331"/>
      <c r="B414" s="331"/>
      <c r="C414" s="332"/>
      <c r="D414" s="331"/>
      <c r="E414" s="333"/>
      <c r="F414" s="271"/>
      <c r="G414" s="931"/>
      <c r="H414" s="931"/>
      <c r="I414" s="931"/>
      <c r="J414" s="931"/>
      <c r="K414" s="931"/>
      <c r="L414" s="931"/>
      <c r="M414" s="931"/>
      <c r="N414" s="931"/>
      <c r="O414" s="931"/>
      <c r="P414" s="931"/>
      <c r="Q414" s="931"/>
      <c r="R414" s="931"/>
    </row>
    <row r="415" spans="1:18" s="328" customFormat="1" ht="13.5" customHeight="1">
      <c r="A415" s="331"/>
      <c r="B415" s="331"/>
      <c r="C415" s="332"/>
      <c r="D415" s="331"/>
      <c r="E415" s="333"/>
      <c r="F415" s="271"/>
      <c r="G415" s="931"/>
      <c r="H415" s="931"/>
      <c r="I415" s="931"/>
      <c r="J415" s="931"/>
      <c r="K415" s="931"/>
      <c r="L415" s="931"/>
      <c r="M415" s="931"/>
      <c r="N415" s="931"/>
      <c r="O415" s="931"/>
      <c r="P415" s="931"/>
      <c r="Q415" s="931"/>
      <c r="R415" s="931"/>
    </row>
    <row r="416" spans="1:18" s="328" customFormat="1" ht="13.5" customHeight="1">
      <c r="A416" s="331"/>
      <c r="B416" s="331"/>
      <c r="C416" s="332"/>
      <c r="D416" s="331"/>
      <c r="E416" s="333"/>
      <c r="F416" s="271"/>
      <c r="G416" s="931"/>
      <c r="H416" s="931"/>
      <c r="I416" s="931"/>
      <c r="J416" s="931"/>
      <c r="K416" s="931"/>
      <c r="L416" s="931"/>
      <c r="M416" s="931"/>
      <c r="N416" s="931"/>
      <c r="O416" s="931"/>
      <c r="P416" s="931"/>
      <c r="Q416" s="931"/>
      <c r="R416" s="931"/>
    </row>
    <row r="417" spans="1:18" s="328" customFormat="1" ht="13.5" customHeight="1">
      <c r="A417" s="331"/>
      <c r="B417" s="331"/>
      <c r="C417" s="332"/>
      <c r="D417" s="331"/>
      <c r="E417" s="333"/>
      <c r="F417" s="271"/>
      <c r="G417" s="931"/>
      <c r="H417" s="931"/>
      <c r="I417" s="931"/>
      <c r="J417" s="931"/>
      <c r="K417" s="931"/>
      <c r="L417" s="931"/>
      <c r="M417" s="931"/>
      <c r="N417" s="931"/>
      <c r="O417" s="931"/>
      <c r="P417" s="931"/>
      <c r="Q417" s="931"/>
      <c r="R417" s="931"/>
    </row>
    <row r="418" spans="1:18" s="328" customFormat="1" ht="13.5" customHeight="1">
      <c r="A418" s="331"/>
      <c r="B418" s="331"/>
      <c r="C418" s="332"/>
      <c r="D418" s="331"/>
      <c r="E418" s="333"/>
      <c r="F418" s="271"/>
      <c r="G418" s="931"/>
      <c r="H418" s="931"/>
      <c r="I418" s="931"/>
      <c r="J418" s="931"/>
      <c r="K418" s="931"/>
      <c r="L418" s="931"/>
      <c r="M418" s="931"/>
      <c r="N418" s="931"/>
      <c r="O418" s="931"/>
      <c r="P418" s="931"/>
      <c r="Q418" s="931"/>
      <c r="R418" s="931"/>
    </row>
    <row r="419" spans="1:18" s="328" customFormat="1" ht="13.5" customHeight="1">
      <c r="A419" s="331"/>
      <c r="B419" s="331"/>
      <c r="C419" s="332"/>
      <c r="D419" s="331"/>
      <c r="E419" s="333"/>
      <c r="F419" s="271"/>
      <c r="G419" s="931"/>
      <c r="H419" s="931"/>
      <c r="I419" s="931"/>
      <c r="J419" s="931"/>
      <c r="K419" s="931"/>
      <c r="L419" s="931"/>
      <c r="M419" s="931"/>
      <c r="N419" s="931"/>
      <c r="O419" s="931"/>
      <c r="P419" s="931"/>
      <c r="Q419" s="931"/>
      <c r="R419" s="931"/>
    </row>
    <row r="420" spans="1:18" s="328" customFormat="1" ht="13.5" customHeight="1">
      <c r="A420" s="331"/>
      <c r="B420" s="331"/>
      <c r="C420" s="332"/>
      <c r="D420" s="331"/>
      <c r="E420" s="333"/>
      <c r="F420" s="271"/>
      <c r="G420" s="931"/>
      <c r="H420" s="931"/>
      <c r="I420" s="931"/>
      <c r="J420" s="931"/>
      <c r="K420" s="931"/>
      <c r="L420" s="931"/>
      <c r="M420" s="931"/>
      <c r="N420" s="931"/>
      <c r="O420" s="931"/>
      <c r="P420" s="931"/>
      <c r="Q420" s="931"/>
      <c r="R420" s="931"/>
    </row>
    <row r="421" spans="1:18" s="328" customFormat="1" ht="13.5" customHeight="1">
      <c r="A421" s="331"/>
      <c r="B421" s="331"/>
      <c r="C421" s="332"/>
      <c r="D421" s="331"/>
      <c r="E421" s="333"/>
      <c r="F421" s="271"/>
      <c r="G421" s="931"/>
      <c r="H421" s="931"/>
      <c r="I421" s="931"/>
      <c r="J421" s="931"/>
      <c r="K421" s="931"/>
      <c r="L421" s="931"/>
      <c r="M421" s="931"/>
      <c r="N421" s="931"/>
      <c r="O421" s="931"/>
      <c r="P421" s="931"/>
      <c r="Q421" s="931"/>
      <c r="R421" s="931"/>
    </row>
    <row r="422" spans="1:18" s="328" customFormat="1" ht="13.5" customHeight="1">
      <c r="A422" s="331"/>
      <c r="B422" s="331"/>
      <c r="C422" s="332"/>
      <c r="D422" s="331"/>
      <c r="E422" s="333"/>
      <c r="F422" s="271"/>
      <c r="G422" s="931"/>
      <c r="H422" s="931"/>
      <c r="I422" s="931"/>
      <c r="J422" s="931"/>
      <c r="K422" s="931"/>
      <c r="L422" s="931"/>
      <c r="M422" s="931"/>
      <c r="N422" s="931"/>
      <c r="O422" s="931"/>
      <c r="P422" s="931"/>
      <c r="Q422" s="931"/>
      <c r="R422" s="931"/>
    </row>
    <row r="423" spans="1:18" s="328" customFormat="1" ht="13.5" customHeight="1">
      <c r="A423" s="331"/>
      <c r="B423" s="331"/>
      <c r="C423" s="332"/>
      <c r="D423" s="331"/>
      <c r="E423" s="333"/>
      <c r="F423" s="271"/>
      <c r="G423" s="931"/>
      <c r="H423" s="931"/>
      <c r="I423" s="931"/>
      <c r="J423" s="931"/>
      <c r="K423" s="931"/>
      <c r="L423" s="931"/>
      <c r="M423" s="931"/>
      <c r="N423" s="931"/>
      <c r="O423" s="931"/>
      <c r="P423" s="931"/>
      <c r="Q423" s="931"/>
      <c r="R423" s="931"/>
    </row>
    <row r="424" spans="1:18" s="328" customFormat="1" ht="13.5" customHeight="1">
      <c r="A424" s="331"/>
      <c r="B424" s="331"/>
      <c r="C424" s="332"/>
      <c r="D424" s="331"/>
      <c r="E424" s="333"/>
      <c r="F424" s="271"/>
      <c r="G424" s="931"/>
      <c r="H424" s="931"/>
      <c r="I424" s="931"/>
      <c r="J424" s="931"/>
      <c r="K424" s="931"/>
      <c r="L424" s="931"/>
      <c r="M424" s="931"/>
      <c r="N424" s="931"/>
      <c r="O424" s="931"/>
      <c r="P424" s="931"/>
      <c r="Q424" s="931"/>
      <c r="R424" s="931"/>
    </row>
    <row r="425" spans="1:18" s="328" customFormat="1" ht="13.5" customHeight="1">
      <c r="A425" s="331"/>
      <c r="B425" s="331"/>
      <c r="C425" s="332"/>
      <c r="D425" s="331"/>
      <c r="E425" s="333"/>
      <c r="F425" s="271"/>
      <c r="G425" s="931"/>
      <c r="H425" s="931"/>
      <c r="I425" s="931"/>
      <c r="J425" s="931"/>
      <c r="K425" s="931"/>
      <c r="L425" s="931"/>
      <c r="M425" s="931"/>
      <c r="N425" s="931"/>
      <c r="O425" s="931"/>
      <c r="P425" s="931"/>
      <c r="Q425" s="931"/>
      <c r="R425" s="931"/>
    </row>
    <row r="426" spans="1:18" s="328" customFormat="1" ht="13.5" customHeight="1">
      <c r="A426" s="331"/>
      <c r="B426" s="331"/>
      <c r="C426" s="332"/>
      <c r="D426" s="331"/>
      <c r="E426" s="333"/>
      <c r="F426" s="271"/>
      <c r="G426" s="931"/>
      <c r="H426" s="931"/>
      <c r="I426" s="931"/>
      <c r="J426" s="931"/>
      <c r="K426" s="931"/>
      <c r="L426" s="931"/>
      <c r="M426" s="931"/>
      <c r="N426" s="931"/>
      <c r="O426" s="931"/>
      <c r="P426" s="931"/>
      <c r="Q426" s="931"/>
      <c r="R426" s="931"/>
    </row>
    <row r="427" spans="1:18" s="328" customFormat="1" ht="13.5" customHeight="1">
      <c r="A427" s="331"/>
      <c r="B427" s="331"/>
      <c r="C427" s="332"/>
      <c r="D427" s="331"/>
      <c r="E427" s="333"/>
      <c r="F427" s="271"/>
      <c r="G427" s="931"/>
      <c r="H427" s="931"/>
      <c r="I427" s="931"/>
      <c r="J427" s="931"/>
      <c r="K427" s="931"/>
      <c r="L427" s="931"/>
      <c r="M427" s="931"/>
      <c r="N427" s="931"/>
      <c r="O427" s="931"/>
      <c r="P427" s="931"/>
      <c r="Q427" s="931"/>
      <c r="R427" s="931"/>
    </row>
    <row r="428" spans="1:18" s="328" customFormat="1" ht="13.5" customHeight="1">
      <c r="A428" s="331"/>
      <c r="B428" s="331"/>
      <c r="C428" s="332"/>
      <c r="D428" s="331"/>
      <c r="E428" s="333"/>
      <c r="F428" s="271"/>
      <c r="G428" s="931"/>
      <c r="H428" s="931"/>
      <c r="I428" s="931"/>
      <c r="J428" s="931"/>
      <c r="K428" s="931"/>
      <c r="L428" s="931"/>
      <c r="M428" s="931"/>
      <c r="N428" s="931"/>
      <c r="O428" s="931"/>
      <c r="P428" s="931"/>
      <c r="Q428" s="931"/>
      <c r="R428" s="931"/>
    </row>
    <row r="429" spans="1:18" s="328" customFormat="1" ht="13.5" customHeight="1">
      <c r="A429" s="331"/>
      <c r="B429" s="331"/>
      <c r="C429" s="332"/>
      <c r="D429" s="331"/>
      <c r="E429" s="333"/>
      <c r="F429" s="271"/>
      <c r="G429" s="931"/>
      <c r="H429" s="931"/>
      <c r="I429" s="931"/>
      <c r="J429" s="931"/>
      <c r="K429" s="931"/>
      <c r="L429" s="931"/>
      <c r="M429" s="931"/>
      <c r="N429" s="931"/>
      <c r="O429" s="931"/>
      <c r="P429" s="931"/>
      <c r="Q429" s="931"/>
      <c r="R429" s="931"/>
    </row>
    <row r="430" spans="1:18" s="328" customFormat="1" ht="13.5" customHeight="1">
      <c r="A430" s="331"/>
      <c r="B430" s="331"/>
      <c r="C430" s="332"/>
      <c r="D430" s="331"/>
      <c r="E430" s="333"/>
      <c r="F430" s="271"/>
      <c r="G430" s="931"/>
      <c r="H430" s="931"/>
      <c r="I430" s="931"/>
      <c r="J430" s="931"/>
      <c r="K430" s="931"/>
      <c r="L430" s="931"/>
      <c r="M430" s="931"/>
      <c r="N430" s="931"/>
      <c r="O430" s="931"/>
      <c r="P430" s="931"/>
      <c r="Q430" s="931"/>
      <c r="R430" s="931"/>
    </row>
    <row r="431" spans="1:18" s="328" customFormat="1" ht="13.5" customHeight="1">
      <c r="A431" s="331"/>
      <c r="B431" s="331"/>
      <c r="C431" s="332"/>
      <c r="D431" s="331"/>
      <c r="E431" s="333"/>
      <c r="F431" s="271"/>
      <c r="G431" s="931"/>
      <c r="H431" s="931"/>
      <c r="I431" s="931"/>
      <c r="J431" s="931"/>
      <c r="K431" s="931"/>
      <c r="L431" s="931"/>
      <c r="M431" s="931"/>
      <c r="N431" s="931"/>
      <c r="O431" s="931"/>
      <c r="P431" s="931"/>
      <c r="Q431" s="931"/>
      <c r="R431" s="931"/>
    </row>
    <row r="432" spans="1:18" s="328" customFormat="1" ht="13.5" customHeight="1">
      <c r="A432" s="331"/>
      <c r="B432" s="331"/>
      <c r="C432" s="332"/>
      <c r="D432" s="331"/>
      <c r="E432" s="333"/>
      <c r="F432" s="271"/>
      <c r="G432" s="931"/>
      <c r="H432" s="931"/>
      <c r="I432" s="931"/>
      <c r="J432" s="931"/>
      <c r="K432" s="931"/>
      <c r="L432" s="931"/>
      <c r="M432" s="931"/>
      <c r="N432" s="931"/>
      <c r="O432" s="931"/>
      <c r="P432" s="931"/>
      <c r="Q432" s="931"/>
      <c r="R432" s="931"/>
    </row>
    <row r="433" spans="1:18" s="328" customFormat="1" ht="13.5" customHeight="1">
      <c r="A433" s="331"/>
      <c r="B433" s="331"/>
      <c r="C433" s="332"/>
      <c r="D433" s="331"/>
      <c r="E433" s="333"/>
      <c r="F433" s="271"/>
      <c r="G433" s="931"/>
      <c r="H433" s="931"/>
      <c r="I433" s="931"/>
      <c r="J433" s="931"/>
      <c r="K433" s="931"/>
      <c r="L433" s="931"/>
      <c r="M433" s="931"/>
      <c r="N433" s="931"/>
      <c r="O433" s="931"/>
      <c r="P433" s="931"/>
      <c r="Q433" s="931"/>
      <c r="R433" s="931"/>
    </row>
    <row r="434" spans="1:18" s="328" customFormat="1" ht="13.5" customHeight="1">
      <c r="A434" s="331"/>
      <c r="B434" s="331"/>
      <c r="C434" s="332"/>
      <c r="D434" s="331"/>
      <c r="E434" s="333"/>
      <c r="F434" s="271"/>
      <c r="G434" s="931"/>
      <c r="H434" s="931"/>
      <c r="I434" s="931"/>
      <c r="J434" s="931"/>
      <c r="K434" s="931"/>
      <c r="L434" s="931"/>
      <c r="M434" s="931"/>
      <c r="N434" s="931"/>
      <c r="O434" s="931"/>
      <c r="P434" s="931"/>
      <c r="Q434" s="931"/>
      <c r="R434" s="931"/>
    </row>
    <row r="435" spans="1:18" s="328" customFormat="1" ht="13.5" customHeight="1">
      <c r="A435" s="331"/>
      <c r="B435" s="331"/>
      <c r="C435" s="332"/>
      <c r="D435" s="331"/>
      <c r="E435" s="333"/>
      <c r="F435" s="271"/>
      <c r="G435" s="931"/>
      <c r="H435" s="931"/>
      <c r="I435" s="931"/>
      <c r="J435" s="931"/>
      <c r="K435" s="931"/>
      <c r="L435" s="931"/>
      <c r="M435" s="931"/>
      <c r="N435" s="931"/>
      <c r="O435" s="931"/>
      <c r="P435" s="931"/>
      <c r="Q435" s="931"/>
      <c r="R435" s="931"/>
    </row>
    <row r="436" spans="1:18" s="328" customFormat="1" ht="13.5" customHeight="1">
      <c r="A436" s="331"/>
      <c r="B436" s="331"/>
      <c r="C436" s="332"/>
      <c r="D436" s="331"/>
      <c r="E436" s="333"/>
      <c r="F436" s="271"/>
      <c r="G436" s="931"/>
      <c r="H436" s="931"/>
      <c r="I436" s="931"/>
      <c r="J436" s="931"/>
      <c r="K436" s="931"/>
      <c r="L436" s="931"/>
      <c r="M436" s="931"/>
      <c r="N436" s="931"/>
      <c r="O436" s="931"/>
      <c r="P436" s="931"/>
      <c r="Q436" s="931"/>
      <c r="R436" s="931"/>
    </row>
    <row r="437" spans="1:18" s="328" customFormat="1" ht="13.5" customHeight="1">
      <c r="A437" s="331"/>
      <c r="B437" s="331"/>
      <c r="C437" s="332"/>
      <c r="D437" s="331"/>
      <c r="E437" s="333"/>
      <c r="F437" s="271"/>
      <c r="G437" s="931"/>
      <c r="H437" s="931"/>
      <c r="I437" s="931"/>
      <c r="J437" s="931"/>
      <c r="K437" s="931"/>
      <c r="L437" s="931"/>
      <c r="M437" s="931"/>
      <c r="N437" s="931"/>
      <c r="O437" s="931"/>
      <c r="P437" s="931"/>
      <c r="Q437" s="931"/>
      <c r="R437" s="931"/>
    </row>
    <row r="438" spans="1:18" s="328" customFormat="1" ht="13.5" customHeight="1">
      <c r="A438" s="331"/>
      <c r="B438" s="331"/>
      <c r="C438" s="332"/>
      <c r="D438" s="331"/>
      <c r="E438" s="333"/>
      <c r="F438" s="271"/>
      <c r="G438" s="931"/>
      <c r="H438" s="931"/>
      <c r="I438" s="931"/>
      <c r="J438" s="931"/>
      <c r="K438" s="931"/>
      <c r="L438" s="931"/>
      <c r="M438" s="931"/>
      <c r="N438" s="931"/>
      <c r="O438" s="931"/>
      <c r="P438" s="931"/>
      <c r="Q438" s="931"/>
      <c r="R438" s="931"/>
    </row>
    <row r="439" spans="1:18" s="328" customFormat="1" ht="13.5" customHeight="1">
      <c r="A439" s="331"/>
      <c r="B439" s="331"/>
      <c r="C439" s="332"/>
      <c r="D439" s="331"/>
      <c r="E439" s="333"/>
      <c r="F439" s="271"/>
      <c r="G439" s="931"/>
      <c r="H439" s="931"/>
      <c r="I439" s="931"/>
      <c r="J439" s="931"/>
      <c r="K439" s="931"/>
      <c r="L439" s="931"/>
      <c r="M439" s="931"/>
      <c r="N439" s="931"/>
      <c r="O439" s="931"/>
      <c r="P439" s="931"/>
      <c r="Q439" s="931"/>
      <c r="R439" s="931"/>
    </row>
    <row r="440" spans="1:18" s="328" customFormat="1" ht="13.5" customHeight="1">
      <c r="A440" s="331"/>
      <c r="B440" s="331"/>
      <c r="C440" s="332"/>
      <c r="D440" s="331"/>
      <c r="E440" s="333"/>
      <c r="F440" s="271"/>
      <c r="G440" s="931"/>
      <c r="H440" s="931"/>
      <c r="I440" s="931"/>
      <c r="J440" s="931"/>
      <c r="K440" s="931"/>
      <c r="L440" s="931"/>
      <c r="M440" s="931"/>
      <c r="N440" s="931"/>
      <c r="O440" s="931"/>
      <c r="P440" s="931"/>
      <c r="Q440" s="931"/>
      <c r="R440" s="931"/>
    </row>
    <row r="441" spans="1:18" s="328" customFormat="1" ht="13.5" customHeight="1">
      <c r="A441" s="331"/>
      <c r="B441" s="331"/>
      <c r="C441" s="332"/>
      <c r="D441" s="331"/>
      <c r="E441" s="333"/>
      <c r="F441" s="271"/>
      <c r="G441" s="931"/>
      <c r="H441" s="931"/>
      <c r="I441" s="931"/>
      <c r="J441" s="931"/>
      <c r="K441" s="931"/>
      <c r="L441" s="931"/>
      <c r="M441" s="931"/>
      <c r="N441" s="931"/>
      <c r="O441" s="931"/>
      <c r="P441" s="931"/>
      <c r="Q441" s="931"/>
      <c r="R441" s="931"/>
    </row>
    <row r="442" spans="1:18" s="328" customFormat="1" ht="13.5" customHeight="1">
      <c r="A442" s="331"/>
      <c r="B442" s="331"/>
      <c r="C442" s="332"/>
      <c r="D442" s="331"/>
      <c r="E442" s="333"/>
      <c r="F442" s="271"/>
      <c r="G442" s="931"/>
      <c r="H442" s="931"/>
      <c r="I442" s="931"/>
      <c r="J442" s="931"/>
      <c r="K442" s="931"/>
      <c r="L442" s="931"/>
      <c r="M442" s="931"/>
      <c r="N442" s="931"/>
      <c r="O442" s="931"/>
      <c r="P442" s="931"/>
      <c r="Q442" s="931"/>
      <c r="R442" s="931"/>
    </row>
    <row r="443" spans="1:18" s="328" customFormat="1" ht="13.5" customHeight="1">
      <c r="A443" s="331"/>
      <c r="B443" s="331"/>
      <c r="C443" s="332"/>
      <c r="D443" s="331"/>
      <c r="E443" s="333"/>
      <c r="F443" s="271"/>
      <c r="G443" s="931"/>
      <c r="H443" s="931"/>
      <c r="I443" s="931"/>
      <c r="J443" s="931"/>
      <c r="K443" s="931"/>
      <c r="L443" s="931"/>
      <c r="M443" s="931"/>
      <c r="N443" s="931"/>
      <c r="O443" s="931"/>
      <c r="P443" s="931"/>
      <c r="Q443" s="931"/>
      <c r="R443" s="931"/>
    </row>
    <row r="444" spans="1:18" s="328" customFormat="1" ht="13.5" customHeight="1">
      <c r="A444" s="331"/>
      <c r="B444" s="331"/>
      <c r="C444" s="332"/>
      <c r="D444" s="331"/>
      <c r="E444" s="333"/>
      <c r="F444" s="271"/>
      <c r="G444" s="931"/>
      <c r="H444" s="931"/>
      <c r="I444" s="931"/>
      <c r="J444" s="931"/>
      <c r="K444" s="931"/>
      <c r="L444" s="931"/>
      <c r="M444" s="931"/>
      <c r="N444" s="931"/>
      <c r="O444" s="931"/>
      <c r="P444" s="931"/>
      <c r="Q444" s="931"/>
      <c r="R444" s="931"/>
    </row>
    <row r="445" spans="1:18" s="328" customFormat="1" ht="13.5" customHeight="1">
      <c r="A445" s="331"/>
      <c r="B445" s="331"/>
      <c r="C445" s="332"/>
      <c r="D445" s="331"/>
      <c r="E445" s="333"/>
      <c r="F445" s="271"/>
      <c r="G445" s="931"/>
      <c r="H445" s="931"/>
      <c r="I445" s="931"/>
      <c r="J445" s="931"/>
      <c r="K445" s="931"/>
      <c r="L445" s="931"/>
      <c r="M445" s="931"/>
      <c r="N445" s="931"/>
      <c r="O445" s="931"/>
      <c r="P445" s="931"/>
      <c r="Q445" s="931"/>
      <c r="R445" s="931"/>
    </row>
    <row r="446" spans="1:18" s="328" customFormat="1" ht="13.5" customHeight="1">
      <c r="A446" s="331"/>
      <c r="B446" s="331"/>
      <c r="C446" s="332"/>
      <c r="D446" s="331"/>
      <c r="E446" s="333"/>
      <c r="F446" s="271"/>
      <c r="G446" s="931"/>
      <c r="H446" s="931"/>
      <c r="I446" s="931"/>
      <c r="J446" s="931"/>
      <c r="K446" s="931"/>
      <c r="L446" s="931"/>
      <c r="M446" s="931"/>
      <c r="N446" s="931"/>
      <c r="O446" s="931"/>
      <c r="P446" s="931"/>
      <c r="Q446" s="931"/>
      <c r="R446" s="931"/>
    </row>
    <row r="447" spans="1:18" s="328" customFormat="1" ht="13.5" customHeight="1">
      <c r="A447" s="331"/>
      <c r="B447" s="331"/>
      <c r="C447" s="332"/>
      <c r="D447" s="331"/>
      <c r="E447" s="333"/>
      <c r="F447" s="271"/>
      <c r="G447" s="931"/>
      <c r="H447" s="931"/>
      <c r="I447" s="931"/>
      <c r="J447" s="931"/>
      <c r="K447" s="931"/>
      <c r="L447" s="931"/>
      <c r="M447" s="931"/>
      <c r="N447" s="931"/>
      <c r="O447" s="931"/>
      <c r="P447" s="931"/>
      <c r="Q447" s="931"/>
      <c r="R447" s="931"/>
    </row>
    <row r="448" spans="1:18" s="328" customFormat="1" ht="13.5" customHeight="1">
      <c r="A448" s="331"/>
      <c r="B448" s="331"/>
      <c r="C448" s="332"/>
      <c r="D448" s="331"/>
      <c r="E448" s="333"/>
      <c r="F448" s="271"/>
      <c r="G448" s="931"/>
      <c r="H448" s="931"/>
      <c r="I448" s="931"/>
      <c r="J448" s="931"/>
      <c r="K448" s="931"/>
      <c r="L448" s="931"/>
      <c r="M448" s="931"/>
      <c r="N448" s="931"/>
      <c r="O448" s="931"/>
      <c r="P448" s="931"/>
      <c r="Q448" s="931"/>
      <c r="R448" s="931"/>
    </row>
    <row r="449" spans="1:18" s="328" customFormat="1" ht="13.5" customHeight="1">
      <c r="A449" s="331"/>
      <c r="B449" s="331"/>
      <c r="C449" s="332"/>
      <c r="D449" s="331"/>
      <c r="E449" s="333"/>
      <c r="F449" s="271"/>
      <c r="G449" s="931"/>
      <c r="H449" s="931"/>
      <c r="I449" s="931"/>
      <c r="J449" s="931"/>
      <c r="K449" s="931"/>
      <c r="L449" s="931"/>
      <c r="M449" s="931"/>
      <c r="N449" s="931"/>
      <c r="O449" s="931"/>
      <c r="P449" s="931"/>
      <c r="Q449" s="931"/>
      <c r="R449" s="931"/>
    </row>
    <row r="450" spans="1:18" s="328" customFormat="1" ht="13.5" customHeight="1">
      <c r="A450" s="331"/>
      <c r="B450" s="331"/>
      <c r="C450" s="332"/>
      <c r="D450" s="331"/>
      <c r="E450" s="333"/>
      <c r="F450" s="271"/>
      <c r="G450" s="931"/>
      <c r="H450" s="931"/>
      <c r="I450" s="931"/>
      <c r="J450" s="931"/>
      <c r="K450" s="931"/>
      <c r="L450" s="931"/>
      <c r="M450" s="931"/>
      <c r="N450" s="931"/>
      <c r="O450" s="931"/>
      <c r="P450" s="931"/>
      <c r="Q450" s="931"/>
      <c r="R450" s="931"/>
    </row>
    <row r="451" spans="1:18" s="328" customFormat="1" ht="13.5" customHeight="1">
      <c r="A451" s="331"/>
      <c r="B451" s="331"/>
      <c r="C451" s="332"/>
      <c r="D451" s="331"/>
      <c r="E451" s="333"/>
      <c r="F451" s="271"/>
      <c r="G451" s="931"/>
      <c r="H451" s="931"/>
      <c r="I451" s="931"/>
      <c r="J451" s="931"/>
      <c r="K451" s="931"/>
      <c r="L451" s="931"/>
      <c r="M451" s="931"/>
      <c r="N451" s="931"/>
      <c r="O451" s="931"/>
      <c r="P451" s="931"/>
      <c r="Q451" s="931"/>
      <c r="R451" s="931"/>
    </row>
    <row r="452" spans="1:18" s="328" customFormat="1" ht="13.5" customHeight="1">
      <c r="A452" s="331"/>
      <c r="B452" s="331"/>
      <c r="C452" s="332"/>
      <c r="D452" s="331"/>
      <c r="E452" s="333"/>
      <c r="F452" s="271"/>
      <c r="G452" s="931"/>
      <c r="H452" s="931"/>
      <c r="I452" s="931"/>
      <c r="J452" s="931"/>
      <c r="K452" s="931"/>
      <c r="L452" s="931"/>
      <c r="M452" s="931"/>
      <c r="N452" s="931"/>
      <c r="O452" s="931"/>
      <c r="P452" s="931"/>
      <c r="Q452" s="931"/>
      <c r="R452" s="931"/>
    </row>
    <row r="453" spans="1:18" s="328" customFormat="1" ht="13.5" customHeight="1">
      <c r="A453" s="331"/>
      <c r="B453" s="331"/>
      <c r="C453" s="332"/>
      <c r="D453" s="331"/>
      <c r="E453" s="333"/>
      <c r="F453" s="271"/>
      <c r="G453" s="931"/>
      <c r="H453" s="931"/>
      <c r="I453" s="931"/>
      <c r="J453" s="931"/>
      <c r="K453" s="931"/>
      <c r="L453" s="931"/>
      <c r="M453" s="931"/>
      <c r="N453" s="931"/>
      <c r="O453" s="931"/>
      <c r="P453" s="931"/>
      <c r="Q453" s="931"/>
      <c r="R453" s="931"/>
    </row>
    <row r="454" spans="1:18" s="328" customFormat="1" ht="13.5" customHeight="1">
      <c r="A454" s="331"/>
      <c r="B454" s="331"/>
      <c r="C454" s="332"/>
      <c r="D454" s="331"/>
      <c r="E454" s="333"/>
      <c r="F454" s="271"/>
      <c r="G454" s="931"/>
      <c r="H454" s="931"/>
      <c r="I454" s="931"/>
      <c r="J454" s="931"/>
      <c r="K454" s="931"/>
      <c r="L454" s="931"/>
      <c r="M454" s="931"/>
      <c r="N454" s="931"/>
      <c r="O454" s="931"/>
      <c r="P454" s="931"/>
      <c r="Q454" s="931"/>
      <c r="R454" s="931"/>
    </row>
    <row r="455" spans="1:18" s="328" customFormat="1" ht="13.5" customHeight="1">
      <c r="A455" s="331"/>
      <c r="B455" s="331"/>
      <c r="C455" s="332"/>
      <c r="D455" s="331"/>
      <c r="E455" s="333"/>
      <c r="F455" s="271"/>
      <c r="G455" s="931"/>
      <c r="H455" s="931"/>
      <c r="I455" s="931"/>
      <c r="J455" s="931"/>
      <c r="K455" s="931"/>
      <c r="L455" s="931"/>
      <c r="M455" s="931"/>
      <c r="N455" s="931"/>
      <c r="O455" s="931"/>
      <c r="P455" s="931"/>
      <c r="Q455" s="931"/>
      <c r="R455" s="931"/>
    </row>
    <row r="456" spans="1:18" s="328" customFormat="1" ht="13.5" customHeight="1">
      <c r="A456" s="331"/>
      <c r="B456" s="331"/>
      <c r="C456" s="332"/>
      <c r="D456" s="331"/>
      <c r="E456" s="333"/>
      <c r="F456" s="271"/>
      <c r="G456" s="931"/>
      <c r="H456" s="931"/>
      <c r="I456" s="931"/>
      <c r="J456" s="931"/>
      <c r="K456" s="931"/>
      <c r="L456" s="931"/>
      <c r="M456" s="931"/>
      <c r="N456" s="931"/>
      <c r="O456" s="931"/>
      <c r="P456" s="931"/>
      <c r="Q456" s="931"/>
      <c r="R456" s="931"/>
    </row>
    <row r="457" spans="1:18" s="328" customFormat="1" ht="13.5" customHeight="1">
      <c r="A457" s="331"/>
      <c r="B457" s="331"/>
      <c r="C457" s="332"/>
      <c r="D457" s="331"/>
      <c r="E457" s="333"/>
      <c r="F457" s="271"/>
      <c r="G457" s="931"/>
      <c r="H457" s="931"/>
      <c r="I457" s="931"/>
      <c r="J457" s="931"/>
      <c r="K457" s="931"/>
      <c r="L457" s="931"/>
      <c r="M457" s="931"/>
      <c r="N457" s="931"/>
      <c r="O457" s="931"/>
      <c r="P457" s="931"/>
      <c r="Q457" s="931"/>
      <c r="R457" s="931"/>
    </row>
    <row r="458" spans="1:18" s="328" customFormat="1" ht="13.5" customHeight="1">
      <c r="A458" s="331"/>
      <c r="B458" s="331"/>
      <c r="C458" s="332"/>
      <c r="D458" s="331"/>
      <c r="E458" s="333"/>
      <c r="F458" s="271"/>
      <c r="G458" s="931"/>
      <c r="H458" s="931"/>
      <c r="I458" s="931"/>
      <c r="J458" s="931"/>
      <c r="K458" s="931"/>
      <c r="L458" s="931"/>
      <c r="M458" s="931"/>
      <c r="N458" s="931"/>
      <c r="O458" s="931"/>
      <c r="P458" s="931"/>
      <c r="Q458" s="931"/>
      <c r="R458" s="931"/>
    </row>
    <row r="459" spans="1:18" s="328" customFormat="1" ht="13.5" customHeight="1">
      <c r="A459" s="331"/>
      <c r="B459" s="331"/>
      <c r="C459" s="332"/>
      <c r="D459" s="331"/>
      <c r="E459" s="333"/>
      <c r="F459" s="271"/>
      <c r="G459" s="931"/>
      <c r="H459" s="931"/>
      <c r="I459" s="931"/>
      <c r="J459" s="931"/>
      <c r="K459" s="931"/>
      <c r="L459" s="931"/>
      <c r="M459" s="931"/>
      <c r="N459" s="931"/>
      <c r="O459" s="931"/>
      <c r="P459" s="931"/>
      <c r="Q459" s="931"/>
      <c r="R459" s="931"/>
    </row>
    <row r="460" spans="1:18" s="328" customFormat="1" ht="13.5" customHeight="1">
      <c r="A460" s="331"/>
      <c r="B460" s="331"/>
      <c r="C460" s="332"/>
      <c r="D460" s="331"/>
      <c r="E460" s="333"/>
      <c r="F460" s="271"/>
      <c r="G460" s="931"/>
      <c r="H460" s="931"/>
      <c r="I460" s="931"/>
      <c r="J460" s="931"/>
      <c r="K460" s="931"/>
      <c r="L460" s="931"/>
      <c r="M460" s="931"/>
      <c r="N460" s="931"/>
      <c r="O460" s="931"/>
      <c r="P460" s="931"/>
      <c r="Q460" s="931"/>
      <c r="R460" s="931"/>
    </row>
    <row r="461" spans="1:18" s="328" customFormat="1" ht="13.5" customHeight="1">
      <c r="A461" s="331"/>
      <c r="B461" s="331"/>
      <c r="C461" s="332"/>
      <c r="D461" s="331"/>
      <c r="E461" s="333"/>
      <c r="F461" s="271"/>
      <c r="G461" s="931"/>
      <c r="H461" s="931"/>
      <c r="I461" s="931"/>
      <c r="J461" s="931"/>
      <c r="K461" s="931"/>
      <c r="L461" s="931"/>
      <c r="M461" s="931"/>
      <c r="N461" s="931"/>
      <c r="O461" s="931"/>
      <c r="P461" s="931"/>
      <c r="Q461" s="931"/>
      <c r="R461" s="931"/>
    </row>
    <row r="462" spans="1:18" s="328" customFormat="1" ht="13.5" customHeight="1">
      <c r="A462" s="331"/>
      <c r="B462" s="331"/>
      <c r="C462" s="332"/>
      <c r="D462" s="331"/>
      <c r="E462" s="333"/>
      <c r="F462" s="271"/>
      <c r="G462" s="931"/>
      <c r="H462" s="931"/>
      <c r="I462" s="931"/>
      <c r="J462" s="931"/>
      <c r="K462" s="931"/>
      <c r="L462" s="931"/>
      <c r="M462" s="931"/>
      <c r="N462" s="931"/>
      <c r="O462" s="931"/>
      <c r="P462" s="931"/>
      <c r="Q462" s="931"/>
      <c r="R462" s="931"/>
    </row>
    <row r="463" spans="1:18" s="328" customFormat="1" ht="13.5" customHeight="1">
      <c r="A463" s="331"/>
      <c r="B463" s="331"/>
      <c r="C463" s="332"/>
      <c r="D463" s="331"/>
      <c r="E463" s="333"/>
      <c r="F463" s="271"/>
      <c r="G463" s="931"/>
      <c r="H463" s="931"/>
      <c r="I463" s="931"/>
      <c r="J463" s="931"/>
      <c r="K463" s="931"/>
      <c r="L463" s="931"/>
      <c r="M463" s="931"/>
      <c r="N463" s="931"/>
      <c r="O463" s="931"/>
      <c r="P463" s="931"/>
      <c r="Q463" s="931"/>
      <c r="R463" s="931"/>
    </row>
    <row r="464" spans="1:18" s="328" customFormat="1" ht="13.5" customHeight="1">
      <c r="A464" s="331"/>
      <c r="B464" s="331"/>
      <c r="C464" s="332"/>
      <c r="D464" s="331"/>
      <c r="E464" s="333"/>
      <c r="F464" s="271"/>
      <c r="G464" s="931"/>
      <c r="H464" s="931"/>
      <c r="I464" s="931"/>
      <c r="J464" s="931"/>
      <c r="K464" s="931"/>
      <c r="L464" s="931"/>
      <c r="M464" s="931"/>
      <c r="N464" s="931"/>
      <c r="O464" s="931"/>
      <c r="P464" s="931"/>
      <c r="Q464" s="931"/>
      <c r="R464" s="931"/>
    </row>
    <row r="465" spans="1:18" s="328" customFormat="1" ht="13.5" customHeight="1">
      <c r="A465" s="331"/>
      <c r="B465" s="331"/>
      <c r="C465" s="332"/>
      <c r="D465" s="331"/>
      <c r="E465" s="333"/>
      <c r="F465" s="271"/>
      <c r="G465" s="931"/>
      <c r="H465" s="931"/>
      <c r="I465" s="931"/>
      <c r="J465" s="931"/>
      <c r="K465" s="931"/>
      <c r="L465" s="931"/>
      <c r="M465" s="931"/>
      <c r="N465" s="931"/>
      <c r="O465" s="931"/>
      <c r="P465" s="931"/>
      <c r="Q465" s="931"/>
      <c r="R465" s="931"/>
    </row>
    <row r="466" spans="1:18" s="328" customFormat="1" ht="13.5" customHeight="1">
      <c r="A466" s="331"/>
      <c r="B466" s="331"/>
      <c r="C466" s="332"/>
      <c r="D466" s="331"/>
      <c r="E466" s="333"/>
      <c r="F466" s="271"/>
      <c r="G466" s="931"/>
      <c r="H466" s="931"/>
      <c r="I466" s="931"/>
      <c r="J466" s="931"/>
      <c r="K466" s="931"/>
      <c r="L466" s="931"/>
      <c r="M466" s="931"/>
      <c r="N466" s="931"/>
      <c r="O466" s="931"/>
      <c r="P466" s="931"/>
      <c r="Q466" s="931"/>
      <c r="R466" s="931"/>
    </row>
    <row r="467" spans="1:18" s="328" customFormat="1" ht="13.5" customHeight="1">
      <c r="A467" s="331"/>
      <c r="B467" s="331"/>
      <c r="C467" s="332"/>
      <c r="D467" s="331"/>
      <c r="E467" s="333"/>
      <c r="F467" s="271"/>
      <c r="G467" s="931"/>
      <c r="H467" s="931"/>
      <c r="I467" s="931"/>
      <c r="J467" s="931"/>
      <c r="K467" s="931"/>
      <c r="L467" s="931"/>
      <c r="M467" s="931"/>
      <c r="N467" s="931"/>
      <c r="O467" s="931"/>
      <c r="P467" s="931"/>
      <c r="Q467" s="931"/>
      <c r="R467" s="931"/>
    </row>
    <row r="468" spans="1:18" s="328" customFormat="1" ht="13.5" customHeight="1">
      <c r="A468" s="331"/>
      <c r="B468" s="331"/>
      <c r="C468" s="332"/>
      <c r="D468" s="331"/>
      <c r="E468" s="333"/>
      <c r="F468" s="271"/>
      <c r="G468" s="931"/>
      <c r="H468" s="931"/>
      <c r="I468" s="931"/>
      <c r="J468" s="931"/>
      <c r="K468" s="931"/>
      <c r="L468" s="931"/>
      <c r="M468" s="931"/>
      <c r="N468" s="931"/>
      <c r="O468" s="931"/>
      <c r="P468" s="931"/>
      <c r="Q468" s="931"/>
      <c r="R468" s="931"/>
    </row>
    <row r="469" spans="1:18" s="328" customFormat="1" ht="13.5" customHeight="1">
      <c r="A469" s="331"/>
      <c r="B469" s="331"/>
      <c r="C469" s="332"/>
      <c r="D469" s="331"/>
      <c r="E469" s="333"/>
      <c r="F469" s="271"/>
      <c r="G469" s="931"/>
      <c r="H469" s="931"/>
      <c r="I469" s="931"/>
      <c r="J469" s="931"/>
      <c r="K469" s="931"/>
      <c r="L469" s="931"/>
      <c r="M469" s="931"/>
      <c r="N469" s="931"/>
      <c r="O469" s="931"/>
      <c r="P469" s="931"/>
      <c r="Q469" s="931"/>
      <c r="R469" s="931"/>
    </row>
    <row r="470" spans="1:18" s="328" customFormat="1" ht="13.5" customHeight="1">
      <c r="A470" s="331"/>
      <c r="B470" s="331"/>
      <c r="C470" s="332"/>
      <c r="D470" s="331"/>
      <c r="E470" s="333"/>
      <c r="F470" s="271"/>
      <c r="G470" s="931"/>
      <c r="H470" s="931"/>
      <c r="I470" s="931"/>
      <c r="J470" s="931"/>
      <c r="K470" s="931"/>
      <c r="L470" s="931"/>
      <c r="M470" s="931"/>
      <c r="N470" s="931"/>
      <c r="O470" s="931"/>
      <c r="P470" s="931"/>
      <c r="Q470" s="931"/>
      <c r="R470" s="931"/>
    </row>
    <row r="471" spans="1:18" s="328" customFormat="1" ht="13.5" customHeight="1">
      <c r="A471" s="331"/>
      <c r="B471" s="331"/>
      <c r="C471" s="332"/>
      <c r="D471" s="331"/>
      <c r="E471" s="333"/>
      <c r="F471" s="271"/>
      <c r="G471" s="931"/>
      <c r="H471" s="931"/>
      <c r="I471" s="931"/>
      <c r="J471" s="931"/>
      <c r="K471" s="931"/>
      <c r="L471" s="931"/>
      <c r="M471" s="931"/>
      <c r="N471" s="931"/>
      <c r="O471" s="931"/>
      <c r="P471" s="931"/>
      <c r="Q471" s="931"/>
      <c r="R471" s="931"/>
    </row>
    <row r="472" spans="1:18" s="328" customFormat="1" ht="13.5" customHeight="1">
      <c r="A472" s="331"/>
      <c r="B472" s="331"/>
      <c r="C472" s="332"/>
      <c r="D472" s="331"/>
      <c r="E472" s="333"/>
      <c r="F472" s="271"/>
      <c r="G472" s="931"/>
      <c r="H472" s="931"/>
      <c r="I472" s="931"/>
      <c r="J472" s="931"/>
      <c r="K472" s="931"/>
      <c r="L472" s="931"/>
      <c r="M472" s="931"/>
      <c r="N472" s="931"/>
      <c r="O472" s="931"/>
      <c r="P472" s="931"/>
      <c r="Q472" s="931"/>
      <c r="R472" s="931"/>
    </row>
    <row r="473" spans="1:18" s="328" customFormat="1" ht="13.5" customHeight="1">
      <c r="A473" s="331"/>
      <c r="B473" s="331"/>
      <c r="C473" s="332"/>
      <c r="D473" s="331"/>
      <c r="E473" s="333"/>
      <c r="F473" s="271"/>
      <c r="G473" s="931"/>
      <c r="H473" s="931"/>
      <c r="I473" s="931"/>
      <c r="J473" s="931"/>
      <c r="K473" s="931"/>
      <c r="L473" s="931"/>
      <c r="M473" s="931"/>
      <c r="N473" s="931"/>
      <c r="O473" s="931"/>
      <c r="P473" s="931"/>
      <c r="Q473" s="931"/>
      <c r="R473" s="931"/>
    </row>
    <row r="474" spans="1:18" s="328" customFormat="1" ht="13.5" customHeight="1">
      <c r="A474" s="331"/>
      <c r="B474" s="331"/>
      <c r="C474" s="332"/>
      <c r="D474" s="331"/>
      <c r="E474" s="333"/>
      <c r="F474" s="271"/>
      <c r="G474" s="931"/>
      <c r="H474" s="931"/>
      <c r="I474" s="931"/>
      <c r="J474" s="931"/>
      <c r="K474" s="931"/>
      <c r="L474" s="931"/>
      <c r="M474" s="931"/>
      <c r="N474" s="931"/>
      <c r="O474" s="931"/>
      <c r="P474" s="931"/>
      <c r="Q474" s="931"/>
      <c r="R474" s="931"/>
    </row>
    <row r="475" spans="1:18" s="328" customFormat="1" ht="13.5" customHeight="1">
      <c r="A475" s="331"/>
      <c r="B475" s="331"/>
      <c r="C475" s="332"/>
      <c r="D475" s="331"/>
      <c r="E475" s="333"/>
      <c r="F475" s="271"/>
      <c r="G475" s="931"/>
      <c r="H475" s="931"/>
      <c r="I475" s="931"/>
      <c r="J475" s="931"/>
      <c r="K475" s="931"/>
      <c r="L475" s="931"/>
      <c r="M475" s="931"/>
      <c r="N475" s="931"/>
      <c r="O475" s="931"/>
      <c r="P475" s="931"/>
      <c r="Q475" s="931"/>
      <c r="R475" s="931"/>
    </row>
    <row r="476" spans="1:18" s="328" customFormat="1" ht="13.5" customHeight="1">
      <c r="A476" s="331"/>
      <c r="B476" s="331"/>
      <c r="C476" s="332"/>
      <c r="D476" s="331"/>
      <c r="E476" s="333"/>
      <c r="F476" s="271"/>
      <c r="G476" s="931"/>
      <c r="H476" s="931"/>
      <c r="I476" s="931"/>
      <c r="J476" s="931"/>
      <c r="K476" s="931"/>
      <c r="L476" s="931"/>
      <c r="M476" s="931"/>
      <c r="N476" s="931"/>
      <c r="O476" s="931"/>
      <c r="P476" s="931"/>
      <c r="Q476" s="931"/>
      <c r="R476" s="931"/>
    </row>
    <row r="477" spans="1:18" s="328" customFormat="1" ht="13.5" customHeight="1">
      <c r="A477" s="331"/>
      <c r="B477" s="331"/>
      <c r="C477" s="332"/>
      <c r="D477" s="331"/>
      <c r="E477" s="333"/>
      <c r="F477" s="271"/>
      <c r="G477" s="931"/>
      <c r="H477" s="931"/>
      <c r="I477" s="931"/>
      <c r="J477" s="931"/>
      <c r="K477" s="931"/>
      <c r="L477" s="931"/>
      <c r="M477" s="931"/>
      <c r="N477" s="931"/>
      <c r="O477" s="931"/>
      <c r="P477" s="931"/>
      <c r="Q477" s="931"/>
      <c r="R477" s="931"/>
    </row>
    <row r="478" spans="1:18" s="328" customFormat="1" ht="13.5" customHeight="1">
      <c r="A478" s="331"/>
      <c r="B478" s="331"/>
      <c r="C478" s="332"/>
      <c r="D478" s="331"/>
      <c r="E478" s="333"/>
      <c r="F478" s="271"/>
      <c r="G478" s="931"/>
      <c r="H478" s="931"/>
      <c r="I478" s="931"/>
      <c r="J478" s="931"/>
      <c r="K478" s="931"/>
      <c r="L478" s="931"/>
      <c r="M478" s="931"/>
      <c r="N478" s="931"/>
      <c r="O478" s="931"/>
      <c r="P478" s="931"/>
      <c r="Q478" s="931"/>
      <c r="R478" s="931"/>
    </row>
    <row r="479" spans="1:18" s="328" customFormat="1" ht="13.5" customHeight="1">
      <c r="A479" s="331"/>
      <c r="B479" s="331"/>
      <c r="C479" s="332"/>
      <c r="D479" s="331"/>
      <c r="E479" s="333"/>
      <c r="F479" s="271"/>
      <c r="G479" s="931"/>
      <c r="H479" s="931"/>
      <c r="I479" s="931"/>
      <c r="J479" s="931"/>
      <c r="K479" s="931"/>
      <c r="L479" s="931"/>
      <c r="M479" s="931"/>
      <c r="N479" s="931"/>
      <c r="O479" s="931"/>
      <c r="P479" s="931"/>
      <c r="Q479" s="931"/>
      <c r="R479" s="931"/>
    </row>
    <row r="480" spans="1:18" s="328" customFormat="1" ht="13.5" customHeight="1">
      <c r="A480" s="331"/>
      <c r="B480" s="331"/>
      <c r="C480" s="332"/>
      <c r="D480" s="331"/>
      <c r="E480" s="333"/>
      <c r="F480" s="271"/>
      <c r="G480" s="931"/>
      <c r="H480" s="931"/>
      <c r="I480" s="931"/>
      <c r="J480" s="931"/>
      <c r="K480" s="931"/>
      <c r="L480" s="931"/>
      <c r="M480" s="931"/>
      <c r="N480" s="931"/>
      <c r="O480" s="931"/>
      <c r="P480" s="931"/>
      <c r="Q480" s="931"/>
      <c r="R480" s="931"/>
    </row>
    <row r="481" spans="1:18" s="328" customFormat="1" ht="13.5" customHeight="1">
      <c r="A481" s="331"/>
      <c r="B481" s="331"/>
      <c r="C481" s="332"/>
      <c r="D481" s="331"/>
      <c r="E481" s="333"/>
      <c r="F481" s="271"/>
      <c r="G481" s="931"/>
      <c r="H481" s="931"/>
      <c r="I481" s="931"/>
      <c r="J481" s="931"/>
      <c r="K481" s="931"/>
      <c r="L481" s="931"/>
      <c r="M481" s="931"/>
      <c r="N481" s="931"/>
      <c r="O481" s="931"/>
      <c r="P481" s="931"/>
      <c r="Q481" s="931"/>
      <c r="R481" s="931"/>
    </row>
    <row r="482" spans="1:18" s="328" customFormat="1" ht="13.5" customHeight="1">
      <c r="A482" s="331"/>
      <c r="B482" s="331"/>
      <c r="C482" s="332"/>
      <c r="D482" s="331"/>
      <c r="E482" s="333"/>
      <c r="F482" s="271"/>
      <c r="G482" s="931"/>
      <c r="H482" s="931"/>
      <c r="I482" s="931"/>
      <c r="J482" s="931"/>
      <c r="K482" s="931"/>
      <c r="L482" s="931"/>
      <c r="M482" s="931"/>
      <c r="N482" s="931"/>
      <c r="O482" s="931"/>
      <c r="P482" s="931"/>
      <c r="Q482" s="931"/>
      <c r="R482" s="931"/>
    </row>
    <row r="483" spans="1:18" s="328" customFormat="1" ht="13.5" customHeight="1">
      <c r="A483" s="331"/>
      <c r="B483" s="331"/>
      <c r="C483" s="332"/>
      <c r="D483" s="331"/>
      <c r="E483" s="333"/>
      <c r="F483" s="271"/>
      <c r="G483" s="931"/>
      <c r="H483" s="931"/>
      <c r="I483" s="931"/>
      <c r="J483" s="931"/>
      <c r="K483" s="931"/>
      <c r="L483" s="931"/>
      <c r="M483" s="931"/>
      <c r="N483" s="931"/>
      <c r="O483" s="931"/>
      <c r="P483" s="931"/>
      <c r="Q483" s="931"/>
      <c r="R483" s="931"/>
    </row>
    <row r="484" spans="1:18" s="328" customFormat="1" ht="13.5" customHeight="1">
      <c r="A484" s="331"/>
      <c r="B484" s="331"/>
      <c r="C484" s="332"/>
      <c r="D484" s="331"/>
      <c r="E484" s="333"/>
      <c r="F484" s="271"/>
      <c r="G484" s="931"/>
      <c r="H484" s="931"/>
      <c r="I484" s="931"/>
      <c r="J484" s="931"/>
      <c r="K484" s="931"/>
      <c r="L484" s="931"/>
      <c r="M484" s="931"/>
      <c r="N484" s="931"/>
      <c r="O484" s="931"/>
      <c r="P484" s="931"/>
      <c r="Q484" s="931"/>
      <c r="R484" s="931"/>
    </row>
    <row r="485" spans="1:18" s="328" customFormat="1" ht="13.5" customHeight="1">
      <c r="A485" s="331"/>
      <c r="B485" s="331"/>
      <c r="C485" s="332"/>
      <c r="D485" s="331"/>
      <c r="E485" s="333"/>
      <c r="F485" s="271"/>
      <c r="G485" s="931"/>
      <c r="H485" s="931"/>
      <c r="I485" s="931"/>
      <c r="J485" s="931"/>
      <c r="K485" s="931"/>
      <c r="L485" s="931"/>
      <c r="M485" s="931"/>
      <c r="N485" s="931"/>
      <c r="O485" s="931"/>
      <c r="P485" s="931"/>
      <c r="Q485" s="931"/>
      <c r="R485" s="931"/>
    </row>
    <row r="486" spans="1:18" s="328" customFormat="1" ht="13.5" customHeight="1">
      <c r="A486" s="331"/>
      <c r="B486" s="331"/>
      <c r="C486" s="332"/>
      <c r="D486" s="331"/>
      <c r="E486" s="333"/>
      <c r="F486" s="271"/>
      <c r="G486" s="931"/>
      <c r="H486" s="931"/>
      <c r="I486" s="931"/>
      <c r="J486" s="931"/>
      <c r="K486" s="931"/>
      <c r="L486" s="931"/>
      <c r="M486" s="931"/>
      <c r="N486" s="931"/>
      <c r="O486" s="931"/>
      <c r="P486" s="931"/>
      <c r="Q486" s="931"/>
      <c r="R486" s="931"/>
    </row>
    <row r="487" spans="1:18" s="328" customFormat="1" ht="13.5" customHeight="1">
      <c r="A487" s="331"/>
      <c r="B487" s="331"/>
      <c r="C487" s="332"/>
      <c r="D487" s="331"/>
      <c r="E487" s="333"/>
      <c r="F487" s="271"/>
      <c r="G487" s="931"/>
      <c r="H487" s="931"/>
      <c r="I487" s="931"/>
      <c r="J487" s="931"/>
      <c r="K487" s="931"/>
      <c r="L487" s="931"/>
      <c r="M487" s="931"/>
      <c r="N487" s="931"/>
      <c r="O487" s="931"/>
      <c r="P487" s="931"/>
      <c r="Q487" s="931"/>
      <c r="R487" s="931"/>
    </row>
    <row r="488" spans="1:18" s="328" customFormat="1" ht="13.5" customHeight="1">
      <c r="A488" s="331"/>
      <c r="B488" s="331"/>
      <c r="C488" s="332"/>
      <c r="D488" s="331"/>
      <c r="E488" s="333"/>
      <c r="F488" s="271"/>
      <c r="G488" s="931"/>
      <c r="H488" s="931"/>
      <c r="I488" s="931"/>
      <c r="J488" s="931"/>
      <c r="K488" s="931"/>
      <c r="L488" s="931"/>
      <c r="M488" s="931"/>
      <c r="N488" s="931"/>
      <c r="O488" s="931"/>
      <c r="P488" s="931"/>
      <c r="Q488" s="931"/>
      <c r="R488" s="931"/>
    </row>
    <row r="489" spans="1:18" s="328" customFormat="1" ht="13.5" customHeight="1">
      <c r="A489" s="331"/>
      <c r="B489" s="331"/>
      <c r="C489" s="332"/>
      <c r="D489" s="331"/>
      <c r="E489" s="333"/>
      <c r="F489" s="271"/>
      <c r="G489" s="931"/>
      <c r="H489" s="931"/>
      <c r="I489" s="931"/>
      <c r="J489" s="931"/>
      <c r="K489" s="931"/>
      <c r="L489" s="931"/>
      <c r="M489" s="931"/>
      <c r="N489" s="931"/>
      <c r="O489" s="931"/>
      <c r="P489" s="931"/>
      <c r="Q489" s="931"/>
      <c r="R489" s="931"/>
    </row>
    <row r="490" spans="1:18" s="328" customFormat="1" ht="13.5" customHeight="1">
      <c r="A490" s="331"/>
      <c r="B490" s="331"/>
      <c r="C490" s="332"/>
      <c r="D490" s="331"/>
      <c r="E490" s="333"/>
      <c r="F490" s="271"/>
      <c r="G490" s="931"/>
      <c r="H490" s="931"/>
      <c r="I490" s="931"/>
      <c r="J490" s="931"/>
      <c r="K490" s="931"/>
      <c r="L490" s="931"/>
      <c r="M490" s="931"/>
      <c r="N490" s="931"/>
      <c r="O490" s="931"/>
      <c r="P490" s="931"/>
      <c r="Q490" s="931"/>
      <c r="R490" s="931"/>
    </row>
    <row r="491" spans="1:18" s="328" customFormat="1" ht="13.5" customHeight="1">
      <c r="A491" s="331"/>
      <c r="B491" s="331"/>
      <c r="C491" s="332"/>
      <c r="D491" s="331"/>
      <c r="E491" s="333"/>
      <c r="F491" s="271"/>
      <c r="G491" s="931"/>
      <c r="H491" s="931"/>
      <c r="I491" s="931"/>
      <c r="J491" s="931"/>
      <c r="K491" s="931"/>
      <c r="L491" s="931"/>
      <c r="M491" s="931"/>
      <c r="N491" s="931"/>
      <c r="O491" s="931"/>
      <c r="P491" s="931"/>
      <c r="Q491" s="931"/>
      <c r="R491" s="931"/>
    </row>
    <row r="492" spans="1:18" s="328" customFormat="1" ht="13.5" customHeight="1">
      <c r="A492" s="331"/>
      <c r="B492" s="331"/>
      <c r="C492" s="332"/>
      <c r="D492" s="331"/>
      <c r="E492" s="333"/>
      <c r="F492" s="271"/>
      <c r="G492" s="931"/>
      <c r="H492" s="931"/>
      <c r="I492" s="931"/>
      <c r="J492" s="931"/>
      <c r="K492" s="931"/>
      <c r="L492" s="931"/>
      <c r="M492" s="931"/>
      <c r="N492" s="931"/>
      <c r="O492" s="931"/>
      <c r="P492" s="931"/>
      <c r="Q492" s="931"/>
      <c r="R492" s="931"/>
    </row>
    <row r="493" spans="1:18" s="328" customFormat="1" ht="13.5" customHeight="1">
      <c r="A493" s="331"/>
      <c r="B493" s="331"/>
      <c r="C493" s="332"/>
      <c r="D493" s="331"/>
      <c r="E493" s="333"/>
      <c r="F493" s="271"/>
      <c r="G493" s="931"/>
      <c r="H493" s="931"/>
      <c r="I493" s="931"/>
      <c r="J493" s="931"/>
      <c r="K493" s="931"/>
      <c r="L493" s="931"/>
      <c r="M493" s="931"/>
      <c r="N493" s="931"/>
      <c r="O493" s="931"/>
      <c r="P493" s="931"/>
      <c r="Q493" s="931"/>
      <c r="R493" s="931"/>
    </row>
    <row r="494" spans="1:18" s="328" customFormat="1" ht="13.5" customHeight="1">
      <c r="A494" s="331"/>
      <c r="B494" s="331"/>
      <c r="C494" s="332"/>
      <c r="D494" s="331"/>
      <c r="E494" s="333"/>
      <c r="F494" s="271"/>
      <c r="G494" s="931"/>
      <c r="H494" s="931"/>
      <c r="I494" s="931"/>
      <c r="J494" s="931"/>
      <c r="K494" s="931"/>
      <c r="L494" s="931"/>
      <c r="M494" s="931"/>
      <c r="N494" s="931"/>
      <c r="O494" s="931"/>
      <c r="P494" s="931"/>
      <c r="Q494" s="931"/>
      <c r="R494" s="931"/>
    </row>
    <row r="495" spans="1:18" s="328" customFormat="1" ht="13.5" customHeight="1">
      <c r="A495" s="331"/>
      <c r="B495" s="331"/>
      <c r="C495" s="332"/>
      <c r="D495" s="331"/>
      <c r="E495" s="333"/>
      <c r="F495" s="271"/>
      <c r="G495" s="931"/>
      <c r="H495" s="931"/>
      <c r="I495" s="931"/>
      <c r="J495" s="931"/>
      <c r="K495" s="931"/>
      <c r="L495" s="931"/>
      <c r="M495" s="931"/>
      <c r="N495" s="931"/>
      <c r="O495" s="931"/>
      <c r="P495" s="931"/>
      <c r="Q495" s="931"/>
      <c r="R495" s="931"/>
    </row>
    <row r="496" spans="1:18" s="328" customFormat="1" ht="13.5" customHeight="1">
      <c r="A496" s="331"/>
      <c r="B496" s="331"/>
      <c r="C496" s="332"/>
      <c r="D496" s="331"/>
      <c r="E496" s="333"/>
      <c r="F496" s="271"/>
      <c r="G496" s="931"/>
      <c r="H496" s="931"/>
      <c r="I496" s="931"/>
      <c r="J496" s="931"/>
      <c r="K496" s="931"/>
      <c r="L496" s="931"/>
      <c r="M496" s="931"/>
      <c r="N496" s="931"/>
      <c r="O496" s="931"/>
      <c r="P496" s="931"/>
      <c r="Q496" s="931"/>
      <c r="R496" s="931"/>
    </row>
    <row r="497" spans="1:18" s="328" customFormat="1" ht="13.5" customHeight="1">
      <c r="A497" s="331"/>
      <c r="B497" s="331"/>
      <c r="C497" s="332"/>
      <c r="D497" s="331"/>
      <c r="E497" s="333"/>
      <c r="F497" s="271"/>
      <c r="G497" s="931"/>
      <c r="H497" s="931"/>
      <c r="I497" s="931"/>
      <c r="J497" s="931"/>
      <c r="K497" s="931"/>
      <c r="L497" s="931"/>
      <c r="M497" s="931"/>
      <c r="N497" s="931"/>
      <c r="O497" s="931"/>
      <c r="P497" s="931"/>
      <c r="Q497" s="931"/>
      <c r="R497" s="931"/>
    </row>
    <row r="498" spans="1:18" s="328" customFormat="1" ht="13.5" customHeight="1">
      <c r="A498" s="331"/>
      <c r="B498" s="331"/>
      <c r="C498" s="332"/>
      <c r="D498" s="331"/>
      <c r="E498" s="333"/>
      <c r="F498" s="271"/>
      <c r="G498" s="931"/>
      <c r="H498" s="931"/>
      <c r="I498" s="931"/>
      <c r="J498" s="931"/>
      <c r="K498" s="931"/>
      <c r="L498" s="931"/>
      <c r="M498" s="931"/>
      <c r="N498" s="931"/>
      <c r="O498" s="931"/>
      <c r="P498" s="931"/>
      <c r="Q498" s="931"/>
      <c r="R498" s="931"/>
    </row>
    <row r="499" spans="1:18" s="328" customFormat="1" ht="13.5" customHeight="1">
      <c r="A499" s="331"/>
      <c r="B499" s="331"/>
      <c r="C499" s="332"/>
      <c r="D499" s="331"/>
      <c r="E499" s="333"/>
      <c r="F499" s="271"/>
      <c r="G499" s="931"/>
      <c r="H499" s="931"/>
      <c r="I499" s="931"/>
      <c r="J499" s="931"/>
      <c r="K499" s="931"/>
      <c r="L499" s="931"/>
      <c r="M499" s="931"/>
      <c r="N499" s="931"/>
      <c r="O499" s="931"/>
      <c r="P499" s="931"/>
      <c r="Q499" s="931"/>
      <c r="R499" s="931"/>
    </row>
    <row r="500" spans="1:18" s="328" customFormat="1" ht="13.5" customHeight="1">
      <c r="A500" s="331"/>
      <c r="B500" s="331"/>
      <c r="C500" s="332"/>
      <c r="D500" s="331"/>
      <c r="E500" s="333"/>
      <c r="F500" s="271"/>
      <c r="G500" s="931"/>
      <c r="H500" s="931"/>
      <c r="I500" s="931"/>
      <c r="J500" s="931"/>
      <c r="K500" s="931"/>
      <c r="L500" s="931"/>
      <c r="M500" s="931"/>
      <c r="N500" s="931"/>
      <c r="O500" s="931"/>
      <c r="P500" s="931"/>
      <c r="Q500" s="931"/>
      <c r="R500" s="931"/>
    </row>
    <row r="501" spans="1:18" s="328" customFormat="1" ht="13.5" customHeight="1">
      <c r="A501" s="331"/>
      <c r="B501" s="331"/>
      <c r="C501" s="332"/>
      <c r="D501" s="331"/>
      <c r="E501" s="333"/>
      <c r="F501" s="271"/>
      <c r="G501" s="931"/>
      <c r="H501" s="931"/>
      <c r="I501" s="931"/>
      <c r="J501" s="931"/>
      <c r="K501" s="931"/>
      <c r="L501" s="931"/>
      <c r="M501" s="931"/>
      <c r="N501" s="931"/>
      <c r="O501" s="931"/>
      <c r="P501" s="931"/>
      <c r="Q501" s="931"/>
      <c r="R501" s="931"/>
    </row>
    <row r="502" spans="1:18" s="328" customFormat="1" ht="13.5" customHeight="1">
      <c r="A502" s="331"/>
      <c r="B502" s="331"/>
      <c r="C502" s="332"/>
      <c r="D502" s="331"/>
      <c r="E502" s="333"/>
      <c r="F502" s="271"/>
      <c r="G502" s="931"/>
      <c r="H502" s="931"/>
      <c r="I502" s="931"/>
      <c r="J502" s="931"/>
      <c r="K502" s="931"/>
      <c r="L502" s="931"/>
      <c r="M502" s="931"/>
      <c r="N502" s="931"/>
      <c r="O502" s="931"/>
      <c r="P502" s="931"/>
      <c r="Q502" s="931"/>
      <c r="R502" s="931"/>
    </row>
    <row r="503" spans="1:18" s="328" customFormat="1" ht="13.5" customHeight="1">
      <c r="A503" s="331"/>
      <c r="B503" s="331"/>
      <c r="C503" s="332"/>
      <c r="D503" s="331"/>
      <c r="E503" s="333"/>
      <c r="F503" s="271"/>
      <c r="G503" s="931"/>
      <c r="H503" s="931"/>
      <c r="I503" s="931"/>
      <c r="J503" s="931"/>
      <c r="K503" s="931"/>
      <c r="L503" s="931"/>
      <c r="M503" s="931"/>
      <c r="N503" s="931"/>
      <c r="O503" s="931"/>
      <c r="P503" s="931"/>
      <c r="Q503" s="931"/>
      <c r="R503" s="931"/>
    </row>
    <row r="504" spans="1:18" s="328" customFormat="1" ht="13.5" customHeight="1">
      <c r="A504" s="331"/>
      <c r="B504" s="331"/>
      <c r="C504" s="332"/>
      <c r="D504" s="331"/>
      <c r="E504" s="333"/>
      <c r="F504" s="271"/>
      <c r="G504" s="931"/>
      <c r="H504" s="931"/>
      <c r="I504" s="931"/>
      <c r="J504" s="931"/>
      <c r="K504" s="931"/>
      <c r="L504" s="931"/>
      <c r="M504" s="931"/>
      <c r="N504" s="931"/>
      <c r="O504" s="931"/>
      <c r="P504" s="931"/>
      <c r="Q504" s="931"/>
      <c r="R504" s="931"/>
    </row>
    <row r="505" spans="1:18" s="328" customFormat="1" ht="13.5" customHeight="1">
      <c r="A505" s="331"/>
      <c r="B505" s="331"/>
      <c r="C505" s="332"/>
      <c r="D505" s="331"/>
      <c r="E505" s="333"/>
      <c r="F505" s="271"/>
      <c r="G505" s="931"/>
      <c r="H505" s="931"/>
      <c r="I505" s="931"/>
      <c r="J505" s="931"/>
      <c r="K505" s="931"/>
      <c r="L505" s="931"/>
      <c r="M505" s="931"/>
      <c r="N505" s="931"/>
      <c r="O505" s="931"/>
      <c r="P505" s="931"/>
      <c r="Q505" s="931"/>
      <c r="R505" s="931"/>
    </row>
    <row r="506" spans="1:18" s="328" customFormat="1" ht="13.5" customHeight="1">
      <c r="A506" s="331"/>
      <c r="B506" s="331"/>
      <c r="C506" s="332"/>
      <c r="D506" s="331"/>
      <c r="E506" s="333"/>
      <c r="F506" s="271"/>
      <c r="G506" s="931"/>
      <c r="H506" s="931"/>
      <c r="I506" s="931"/>
      <c r="J506" s="931"/>
      <c r="K506" s="931"/>
      <c r="L506" s="931"/>
      <c r="M506" s="931"/>
      <c r="N506" s="931"/>
      <c r="O506" s="931"/>
      <c r="P506" s="931"/>
      <c r="Q506" s="931"/>
      <c r="R506" s="931"/>
    </row>
    <row r="507" spans="1:18" s="328" customFormat="1" ht="13.5" customHeight="1">
      <c r="A507" s="331"/>
      <c r="B507" s="331"/>
      <c r="C507" s="332"/>
      <c r="D507" s="331"/>
      <c r="E507" s="333"/>
      <c r="F507" s="271"/>
      <c r="G507" s="931"/>
      <c r="H507" s="931"/>
      <c r="I507" s="931"/>
      <c r="J507" s="931"/>
      <c r="K507" s="931"/>
      <c r="L507" s="931"/>
      <c r="M507" s="931"/>
      <c r="N507" s="931"/>
      <c r="O507" s="931"/>
      <c r="P507" s="931"/>
      <c r="Q507" s="931"/>
      <c r="R507" s="931"/>
    </row>
    <row r="508" spans="1:18" s="328" customFormat="1" ht="13.5" customHeight="1">
      <c r="A508" s="331"/>
      <c r="B508" s="331"/>
      <c r="C508" s="332"/>
      <c r="D508" s="331"/>
      <c r="E508" s="333"/>
      <c r="F508" s="271"/>
      <c r="G508" s="931"/>
      <c r="H508" s="931"/>
      <c r="I508" s="931"/>
      <c r="J508" s="931"/>
      <c r="K508" s="931"/>
      <c r="L508" s="931"/>
      <c r="M508" s="931"/>
      <c r="N508" s="931"/>
      <c r="O508" s="931"/>
      <c r="P508" s="931"/>
      <c r="Q508" s="931"/>
      <c r="R508" s="931"/>
    </row>
    <row r="509" spans="1:18" s="328" customFormat="1" ht="13.5" customHeight="1">
      <c r="A509" s="331"/>
      <c r="B509" s="331"/>
      <c r="C509" s="332"/>
      <c r="D509" s="331"/>
      <c r="E509" s="333"/>
      <c r="F509" s="271"/>
      <c r="G509" s="931"/>
      <c r="H509" s="931"/>
      <c r="I509" s="931"/>
      <c r="J509" s="931"/>
      <c r="K509" s="931"/>
      <c r="L509" s="931"/>
      <c r="M509" s="931"/>
      <c r="N509" s="931"/>
      <c r="O509" s="931"/>
      <c r="P509" s="931"/>
      <c r="Q509" s="931"/>
      <c r="R509" s="931"/>
    </row>
    <row r="510" spans="1:18" s="328" customFormat="1" ht="13.5" customHeight="1">
      <c r="A510" s="331"/>
      <c r="B510" s="331"/>
      <c r="C510" s="332"/>
      <c r="D510" s="331"/>
      <c r="E510" s="333"/>
      <c r="F510" s="271"/>
      <c r="G510" s="931"/>
      <c r="H510" s="931"/>
      <c r="I510" s="931"/>
      <c r="J510" s="931"/>
      <c r="K510" s="931"/>
      <c r="L510" s="931"/>
      <c r="M510" s="931"/>
      <c r="N510" s="931"/>
      <c r="O510" s="931"/>
      <c r="P510" s="931"/>
      <c r="Q510" s="931"/>
      <c r="R510" s="931"/>
    </row>
    <row r="511" spans="1:18" s="328" customFormat="1" ht="13.5" customHeight="1">
      <c r="A511" s="331"/>
      <c r="B511" s="331"/>
      <c r="C511" s="332"/>
      <c r="D511" s="331"/>
      <c r="E511" s="333"/>
      <c r="F511" s="271"/>
      <c r="G511" s="931"/>
      <c r="H511" s="931"/>
      <c r="I511" s="931"/>
      <c r="J511" s="931"/>
      <c r="K511" s="931"/>
      <c r="L511" s="931"/>
      <c r="M511" s="931"/>
      <c r="N511" s="931"/>
      <c r="O511" s="931"/>
      <c r="P511" s="931"/>
      <c r="Q511" s="931"/>
      <c r="R511" s="931"/>
    </row>
    <row r="512" spans="1:18" s="328" customFormat="1" ht="13.5" customHeight="1">
      <c r="A512" s="331"/>
      <c r="B512" s="331"/>
      <c r="C512" s="332"/>
      <c r="D512" s="331"/>
      <c r="E512" s="333"/>
      <c r="F512" s="271"/>
      <c r="G512" s="931"/>
      <c r="H512" s="931"/>
      <c r="I512" s="931"/>
      <c r="J512" s="931"/>
      <c r="K512" s="931"/>
      <c r="L512" s="931"/>
      <c r="M512" s="931"/>
      <c r="N512" s="931"/>
      <c r="O512" s="931"/>
      <c r="P512" s="931"/>
      <c r="Q512" s="931"/>
      <c r="R512" s="931"/>
    </row>
    <row r="513" spans="1:18" s="328" customFormat="1" ht="13.5" customHeight="1">
      <c r="A513" s="331"/>
      <c r="B513" s="331"/>
      <c r="C513" s="332"/>
      <c r="D513" s="331"/>
      <c r="E513" s="333"/>
      <c r="F513" s="271"/>
      <c r="G513" s="931"/>
      <c r="H513" s="931"/>
      <c r="I513" s="931"/>
      <c r="J513" s="931"/>
      <c r="K513" s="931"/>
      <c r="L513" s="931"/>
      <c r="M513" s="931"/>
      <c r="N513" s="931"/>
      <c r="O513" s="931"/>
      <c r="P513" s="931"/>
      <c r="Q513" s="931"/>
      <c r="R513" s="931"/>
    </row>
    <row r="514" spans="1:18" s="328" customFormat="1" ht="13.5" customHeight="1">
      <c r="A514" s="331"/>
      <c r="B514" s="331"/>
      <c r="C514" s="332"/>
      <c r="D514" s="331"/>
      <c r="E514" s="333"/>
      <c r="F514" s="271"/>
      <c r="G514" s="931"/>
      <c r="H514" s="931"/>
      <c r="I514" s="931"/>
      <c r="J514" s="931"/>
      <c r="K514" s="931"/>
      <c r="L514" s="931"/>
      <c r="M514" s="931"/>
      <c r="N514" s="931"/>
      <c r="O514" s="931"/>
      <c r="P514" s="931"/>
      <c r="Q514" s="931"/>
      <c r="R514" s="931"/>
    </row>
    <row r="515" spans="1:18" s="328" customFormat="1" ht="13.5" customHeight="1">
      <c r="A515" s="331"/>
      <c r="B515" s="331"/>
      <c r="C515" s="332"/>
      <c r="D515" s="331"/>
      <c r="E515" s="333"/>
      <c r="F515" s="271"/>
      <c r="G515" s="931"/>
      <c r="H515" s="931"/>
      <c r="I515" s="931"/>
      <c r="J515" s="931"/>
      <c r="K515" s="931"/>
      <c r="L515" s="931"/>
      <c r="M515" s="931"/>
      <c r="N515" s="931"/>
      <c r="O515" s="931"/>
      <c r="P515" s="931"/>
      <c r="Q515" s="931"/>
      <c r="R515" s="931"/>
    </row>
    <row r="516" spans="1:18" s="328" customFormat="1" ht="13.5" customHeight="1">
      <c r="A516" s="331"/>
      <c r="B516" s="331"/>
      <c r="C516" s="332"/>
      <c r="D516" s="331"/>
      <c r="E516" s="333"/>
      <c r="F516" s="271"/>
      <c r="G516" s="931"/>
      <c r="H516" s="931"/>
      <c r="I516" s="931"/>
      <c r="J516" s="931"/>
      <c r="K516" s="931"/>
      <c r="L516" s="931"/>
      <c r="M516" s="931"/>
      <c r="N516" s="931"/>
      <c r="O516" s="931"/>
      <c r="P516" s="931"/>
      <c r="Q516" s="931"/>
      <c r="R516" s="931"/>
    </row>
    <row r="517" spans="1:18" s="328" customFormat="1" ht="13.5" customHeight="1">
      <c r="A517" s="331"/>
      <c r="B517" s="331"/>
      <c r="C517" s="332"/>
      <c r="D517" s="331"/>
      <c r="E517" s="333"/>
      <c r="F517" s="271"/>
      <c r="G517" s="931"/>
      <c r="H517" s="931"/>
      <c r="I517" s="931"/>
      <c r="J517" s="931"/>
      <c r="K517" s="931"/>
      <c r="L517" s="931"/>
      <c r="M517" s="931"/>
      <c r="N517" s="931"/>
      <c r="O517" s="931"/>
      <c r="P517" s="931"/>
      <c r="Q517" s="931"/>
      <c r="R517" s="931"/>
    </row>
    <row r="518" spans="1:18" s="328" customFormat="1" ht="13.5" customHeight="1">
      <c r="A518" s="331"/>
      <c r="B518" s="331"/>
      <c r="C518" s="332"/>
      <c r="D518" s="331"/>
      <c r="E518" s="333"/>
      <c r="F518" s="271"/>
      <c r="G518" s="931"/>
      <c r="H518" s="931"/>
      <c r="I518" s="931"/>
      <c r="J518" s="931"/>
      <c r="K518" s="931"/>
      <c r="L518" s="931"/>
      <c r="M518" s="931"/>
      <c r="N518" s="931"/>
      <c r="O518" s="931"/>
      <c r="P518" s="931"/>
      <c r="Q518" s="931"/>
      <c r="R518" s="931"/>
    </row>
    <row r="519" spans="1:18" s="328" customFormat="1" ht="13.5" customHeight="1">
      <c r="A519" s="331"/>
      <c r="B519" s="331"/>
      <c r="C519" s="332"/>
      <c r="D519" s="331"/>
      <c r="E519" s="333"/>
      <c r="F519" s="271"/>
      <c r="G519" s="931"/>
      <c r="H519" s="931"/>
      <c r="I519" s="931"/>
      <c r="J519" s="931"/>
      <c r="K519" s="931"/>
      <c r="L519" s="931"/>
      <c r="M519" s="931"/>
      <c r="N519" s="931"/>
      <c r="O519" s="931"/>
      <c r="P519" s="931"/>
      <c r="Q519" s="931"/>
      <c r="R519" s="931"/>
    </row>
    <row r="520" spans="1:18" s="328" customFormat="1" ht="13.5" customHeight="1">
      <c r="A520" s="331"/>
      <c r="B520" s="331"/>
      <c r="C520" s="332"/>
      <c r="D520" s="331"/>
      <c r="E520" s="333"/>
      <c r="F520" s="271"/>
      <c r="G520" s="931"/>
      <c r="H520" s="931"/>
      <c r="I520" s="931"/>
      <c r="J520" s="931"/>
      <c r="K520" s="931"/>
      <c r="L520" s="931"/>
      <c r="M520" s="931"/>
      <c r="N520" s="931"/>
      <c r="O520" s="931"/>
      <c r="P520" s="931"/>
      <c r="Q520" s="931"/>
      <c r="R520" s="931"/>
    </row>
    <row r="521" spans="1:18" s="328" customFormat="1" ht="13.5" customHeight="1">
      <c r="A521" s="331"/>
      <c r="B521" s="331"/>
      <c r="C521" s="332"/>
      <c r="D521" s="331"/>
      <c r="E521" s="333"/>
      <c r="F521" s="271"/>
      <c r="G521" s="931"/>
      <c r="H521" s="931"/>
      <c r="I521" s="931"/>
      <c r="J521" s="931"/>
      <c r="K521" s="931"/>
      <c r="L521" s="931"/>
      <c r="M521" s="931"/>
      <c r="N521" s="931"/>
      <c r="O521" s="931"/>
      <c r="P521" s="931"/>
      <c r="Q521" s="931"/>
      <c r="R521" s="931"/>
    </row>
    <row r="522" spans="1:18" s="328" customFormat="1" ht="13.5" customHeight="1">
      <c r="A522" s="331"/>
      <c r="B522" s="331"/>
      <c r="C522" s="332"/>
      <c r="D522" s="331"/>
      <c r="E522" s="333"/>
      <c r="F522" s="271"/>
      <c r="G522" s="931"/>
      <c r="H522" s="931"/>
      <c r="I522" s="931"/>
      <c r="J522" s="931"/>
      <c r="K522" s="931"/>
      <c r="L522" s="931"/>
      <c r="M522" s="931"/>
      <c r="N522" s="931"/>
      <c r="O522" s="931"/>
      <c r="P522" s="931"/>
      <c r="Q522" s="931"/>
      <c r="R522" s="931"/>
    </row>
    <row r="523" spans="1:18" s="328" customFormat="1" ht="13.5" customHeight="1">
      <c r="A523" s="331"/>
      <c r="B523" s="331"/>
      <c r="C523" s="332"/>
      <c r="D523" s="331"/>
      <c r="E523" s="333"/>
      <c r="F523" s="271"/>
      <c r="G523" s="931"/>
      <c r="H523" s="931"/>
      <c r="I523" s="931"/>
      <c r="J523" s="931"/>
      <c r="K523" s="931"/>
      <c r="L523" s="931"/>
      <c r="M523" s="931"/>
      <c r="N523" s="931"/>
      <c r="O523" s="931"/>
      <c r="P523" s="931"/>
      <c r="Q523" s="931"/>
      <c r="R523" s="931"/>
    </row>
    <row r="524" spans="1:18" s="328" customFormat="1" ht="13.5" customHeight="1">
      <c r="A524" s="331"/>
      <c r="B524" s="331"/>
      <c r="C524" s="332"/>
      <c r="D524" s="331"/>
      <c r="E524" s="333"/>
      <c r="F524" s="271"/>
      <c r="G524" s="931"/>
      <c r="H524" s="931"/>
      <c r="I524" s="931"/>
      <c r="J524" s="931"/>
      <c r="K524" s="931"/>
      <c r="L524" s="931"/>
      <c r="M524" s="931"/>
      <c r="N524" s="931"/>
      <c r="O524" s="931"/>
      <c r="P524" s="931"/>
      <c r="Q524" s="931"/>
      <c r="R524" s="931"/>
    </row>
    <row r="525" spans="1:18" s="328" customFormat="1" ht="13.5" customHeight="1">
      <c r="A525" s="331"/>
      <c r="B525" s="331"/>
      <c r="C525" s="332"/>
      <c r="D525" s="331"/>
      <c r="E525" s="333"/>
      <c r="F525" s="271"/>
      <c r="G525" s="931"/>
      <c r="H525" s="931"/>
      <c r="I525" s="931"/>
      <c r="J525" s="931"/>
      <c r="K525" s="931"/>
      <c r="L525" s="931"/>
      <c r="M525" s="931"/>
      <c r="N525" s="931"/>
      <c r="O525" s="931"/>
      <c r="P525" s="931"/>
      <c r="Q525" s="931"/>
      <c r="R525" s="931"/>
    </row>
    <row r="526" spans="1:18" s="328" customFormat="1" ht="13.5" customHeight="1">
      <c r="A526" s="331"/>
      <c r="B526" s="331"/>
      <c r="C526" s="332"/>
      <c r="D526" s="331"/>
      <c r="E526" s="333"/>
      <c r="F526" s="271"/>
      <c r="G526" s="931"/>
      <c r="H526" s="931"/>
      <c r="I526" s="931"/>
      <c r="J526" s="931"/>
      <c r="K526" s="931"/>
      <c r="L526" s="931"/>
      <c r="M526" s="931"/>
      <c r="N526" s="931"/>
      <c r="O526" s="931"/>
      <c r="P526" s="931"/>
      <c r="Q526" s="931"/>
      <c r="R526" s="931"/>
    </row>
    <row r="527" spans="1:18" s="328" customFormat="1" ht="13.5" customHeight="1">
      <c r="A527" s="331"/>
      <c r="B527" s="331"/>
      <c r="C527" s="332"/>
      <c r="D527" s="331"/>
      <c r="E527" s="333"/>
      <c r="F527" s="271"/>
      <c r="G527" s="931"/>
      <c r="H527" s="931"/>
      <c r="I527" s="931"/>
      <c r="J527" s="931"/>
      <c r="K527" s="931"/>
      <c r="L527" s="931"/>
      <c r="M527" s="931"/>
      <c r="N527" s="931"/>
      <c r="O527" s="931"/>
      <c r="P527" s="931"/>
      <c r="Q527" s="931"/>
      <c r="R527" s="931"/>
    </row>
    <row r="528" spans="1:18" s="328" customFormat="1" ht="13.5" customHeight="1">
      <c r="A528" s="331"/>
      <c r="B528" s="331"/>
      <c r="C528" s="332"/>
      <c r="D528" s="331"/>
      <c r="E528" s="333"/>
      <c r="F528" s="271"/>
      <c r="G528" s="931"/>
      <c r="H528" s="931"/>
      <c r="I528" s="931"/>
      <c r="J528" s="931"/>
      <c r="K528" s="931"/>
      <c r="L528" s="931"/>
      <c r="M528" s="931"/>
      <c r="N528" s="931"/>
      <c r="O528" s="931"/>
      <c r="P528" s="931"/>
      <c r="Q528" s="931"/>
      <c r="R528" s="931"/>
    </row>
    <row r="529" spans="1:18" s="328" customFormat="1" ht="13.5" customHeight="1">
      <c r="A529" s="331"/>
      <c r="B529" s="331"/>
      <c r="C529" s="332"/>
      <c r="D529" s="331"/>
      <c r="E529" s="333"/>
      <c r="F529" s="271"/>
      <c r="G529" s="931"/>
      <c r="H529" s="931"/>
      <c r="I529" s="931"/>
      <c r="J529" s="931"/>
      <c r="K529" s="931"/>
      <c r="L529" s="931"/>
      <c r="M529" s="931"/>
      <c r="N529" s="931"/>
      <c r="O529" s="931"/>
      <c r="P529" s="931"/>
      <c r="Q529" s="931"/>
      <c r="R529" s="931"/>
    </row>
    <row r="530" spans="1:18" s="328" customFormat="1" ht="13.5" customHeight="1">
      <c r="A530" s="331"/>
      <c r="B530" s="331"/>
      <c r="C530" s="332"/>
      <c r="D530" s="331"/>
      <c r="E530" s="333"/>
      <c r="F530" s="271"/>
      <c r="G530" s="931"/>
      <c r="H530" s="931"/>
      <c r="I530" s="931"/>
      <c r="J530" s="931"/>
      <c r="K530" s="931"/>
      <c r="L530" s="931"/>
      <c r="M530" s="931"/>
      <c r="N530" s="931"/>
      <c r="O530" s="931"/>
      <c r="P530" s="931"/>
      <c r="Q530" s="931"/>
      <c r="R530" s="931"/>
    </row>
    <row r="531" spans="1:18" s="328" customFormat="1" ht="13.5" customHeight="1">
      <c r="A531" s="331"/>
      <c r="B531" s="331"/>
      <c r="C531" s="332"/>
      <c r="D531" s="331"/>
      <c r="E531" s="333"/>
      <c r="F531" s="271"/>
      <c r="G531" s="931"/>
      <c r="H531" s="931"/>
      <c r="I531" s="931"/>
      <c r="J531" s="931"/>
      <c r="K531" s="931"/>
      <c r="L531" s="931"/>
      <c r="M531" s="931"/>
      <c r="N531" s="931"/>
      <c r="O531" s="931"/>
      <c r="P531" s="931"/>
      <c r="Q531" s="931"/>
      <c r="R531" s="931"/>
    </row>
    <row r="532" spans="1:18" s="328" customFormat="1" ht="13.5" customHeight="1">
      <c r="A532" s="331"/>
      <c r="B532" s="331"/>
      <c r="C532" s="332"/>
      <c r="D532" s="331"/>
      <c r="E532" s="333"/>
      <c r="F532" s="271"/>
      <c r="G532" s="931"/>
      <c r="H532" s="931"/>
      <c r="I532" s="931"/>
      <c r="J532" s="931"/>
      <c r="K532" s="931"/>
      <c r="L532" s="931"/>
      <c r="M532" s="931"/>
      <c r="N532" s="931"/>
      <c r="O532" s="931"/>
      <c r="P532" s="931"/>
      <c r="Q532" s="931"/>
      <c r="R532" s="931"/>
    </row>
    <row r="533" spans="1:18" s="328" customFormat="1" ht="13.5" customHeight="1">
      <c r="A533" s="331"/>
      <c r="B533" s="331"/>
      <c r="C533" s="332"/>
      <c r="D533" s="331"/>
      <c r="E533" s="333"/>
      <c r="F533" s="271"/>
      <c r="G533" s="931"/>
      <c r="H533" s="931"/>
      <c r="I533" s="931"/>
      <c r="J533" s="931"/>
      <c r="K533" s="931"/>
      <c r="L533" s="931"/>
      <c r="M533" s="931"/>
      <c r="N533" s="931"/>
      <c r="O533" s="931"/>
      <c r="P533" s="931"/>
      <c r="Q533" s="931"/>
      <c r="R533" s="931"/>
    </row>
    <row r="534" spans="1:18" s="328" customFormat="1" ht="13.5" customHeight="1">
      <c r="A534" s="331"/>
      <c r="B534" s="331"/>
      <c r="C534" s="332"/>
      <c r="D534" s="331"/>
      <c r="E534" s="333"/>
      <c r="F534" s="271"/>
      <c r="G534" s="931"/>
      <c r="H534" s="931"/>
      <c r="I534" s="931"/>
      <c r="J534" s="931"/>
      <c r="K534" s="931"/>
      <c r="L534" s="931"/>
      <c r="M534" s="931"/>
      <c r="N534" s="931"/>
      <c r="O534" s="931"/>
      <c r="P534" s="931"/>
      <c r="Q534" s="931"/>
      <c r="R534" s="931"/>
    </row>
    <row r="535" spans="1:18" s="328" customFormat="1" ht="13.5" customHeight="1">
      <c r="A535" s="331"/>
      <c r="B535" s="331"/>
      <c r="C535" s="332"/>
      <c r="D535" s="331"/>
      <c r="E535" s="333"/>
      <c r="F535" s="271"/>
      <c r="G535" s="931"/>
      <c r="H535" s="931"/>
      <c r="I535" s="931"/>
      <c r="J535" s="931"/>
      <c r="K535" s="931"/>
      <c r="L535" s="931"/>
      <c r="M535" s="931"/>
      <c r="N535" s="931"/>
      <c r="O535" s="931"/>
      <c r="P535" s="931"/>
      <c r="Q535" s="931"/>
      <c r="R535" s="931"/>
    </row>
    <row r="536" spans="1:18" s="328" customFormat="1" ht="13.5" customHeight="1">
      <c r="A536" s="331"/>
      <c r="B536" s="331"/>
      <c r="C536" s="332"/>
      <c r="D536" s="331"/>
      <c r="E536" s="333"/>
      <c r="F536" s="271"/>
      <c r="G536" s="931"/>
      <c r="H536" s="931"/>
      <c r="I536" s="931"/>
      <c r="J536" s="931"/>
      <c r="K536" s="931"/>
      <c r="L536" s="931"/>
      <c r="M536" s="931"/>
      <c r="N536" s="931"/>
      <c r="O536" s="931"/>
      <c r="P536" s="931"/>
      <c r="Q536" s="931"/>
      <c r="R536" s="931"/>
    </row>
    <row r="537" spans="1:18" s="328" customFormat="1" ht="13.5" customHeight="1">
      <c r="A537" s="331"/>
      <c r="B537" s="331"/>
      <c r="C537" s="332"/>
      <c r="D537" s="331"/>
      <c r="E537" s="333"/>
      <c r="F537" s="271"/>
      <c r="G537" s="931"/>
      <c r="H537" s="931"/>
      <c r="I537" s="931"/>
      <c r="J537" s="931"/>
      <c r="K537" s="931"/>
      <c r="L537" s="931"/>
      <c r="M537" s="931"/>
      <c r="N537" s="931"/>
      <c r="O537" s="931"/>
      <c r="P537" s="931"/>
      <c r="Q537" s="931"/>
      <c r="R537" s="931"/>
    </row>
    <row r="538" spans="1:18" s="328" customFormat="1" ht="13.5" customHeight="1">
      <c r="A538" s="331"/>
      <c r="B538" s="331"/>
      <c r="C538" s="332"/>
      <c r="D538" s="331"/>
      <c r="E538" s="333"/>
      <c r="F538" s="271"/>
      <c r="G538" s="931"/>
      <c r="H538" s="931"/>
      <c r="I538" s="931"/>
      <c r="J538" s="931"/>
      <c r="K538" s="931"/>
      <c r="L538" s="931"/>
      <c r="M538" s="931"/>
      <c r="N538" s="931"/>
      <c r="O538" s="931"/>
      <c r="P538" s="931"/>
      <c r="Q538" s="931"/>
      <c r="R538" s="931"/>
    </row>
    <row r="539" spans="1:18" s="328" customFormat="1" ht="13.5" customHeight="1">
      <c r="A539" s="331"/>
      <c r="B539" s="331"/>
      <c r="C539" s="332"/>
      <c r="D539" s="331"/>
      <c r="E539" s="333"/>
      <c r="F539" s="271"/>
      <c r="G539" s="931"/>
      <c r="H539" s="931"/>
      <c r="I539" s="931"/>
      <c r="J539" s="931"/>
      <c r="K539" s="931"/>
      <c r="L539" s="931"/>
      <c r="M539" s="931"/>
      <c r="N539" s="931"/>
      <c r="O539" s="931"/>
      <c r="P539" s="931"/>
      <c r="Q539" s="931"/>
      <c r="R539" s="931"/>
    </row>
    <row r="540" spans="1:18" s="328" customFormat="1" ht="13.5" customHeight="1">
      <c r="A540" s="331"/>
      <c r="B540" s="331"/>
      <c r="C540" s="332"/>
      <c r="D540" s="331"/>
      <c r="E540" s="333"/>
      <c r="F540" s="271"/>
      <c r="G540" s="931"/>
      <c r="H540" s="931"/>
      <c r="I540" s="931"/>
      <c r="J540" s="931"/>
      <c r="K540" s="931"/>
      <c r="L540" s="931"/>
      <c r="M540" s="931"/>
      <c r="N540" s="931"/>
      <c r="O540" s="931"/>
      <c r="P540" s="931"/>
      <c r="Q540" s="931"/>
      <c r="R540" s="931"/>
    </row>
    <row r="541" spans="1:18" s="328" customFormat="1" ht="13.5" customHeight="1">
      <c r="A541" s="331"/>
      <c r="B541" s="331"/>
      <c r="C541" s="332"/>
      <c r="D541" s="331"/>
      <c r="E541" s="333"/>
      <c r="F541" s="271"/>
      <c r="G541" s="931"/>
      <c r="H541" s="931"/>
      <c r="I541" s="931"/>
      <c r="J541" s="931"/>
      <c r="K541" s="931"/>
      <c r="L541" s="931"/>
      <c r="M541" s="931"/>
      <c r="N541" s="931"/>
      <c r="O541" s="931"/>
      <c r="P541" s="931"/>
      <c r="Q541" s="931"/>
      <c r="R541" s="931"/>
    </row>
    <row r="542" spans="1:18" s="328" customFormat="1" ht="13.5" customHeight="1">
      <c r="A542" s="331"/>
      <c r="B542" s="331"/>
      <c r="C542" s="332"/>
      <c r="D542" s="331"/>
      <c r="E542" s="333"/>
      <c r="F542" s="271"/>
      <c r="G542" s="931"/>
      <c r="H542" s="931"/>
      <c r="I542" s="931"/>
      <c r="J542" s="931"/>
      <c r="K542" s="931"/>
      <c r="L542" s="931"/>
      <c r="M542" s="931"/>
      <c r="N542" s="931"/>
      <c r="O542" s="931"/>
      <c r="P542" s="931"/>
      <c r="Q542" s="931"/>
      <c r="R542" s="931"/>
    </row>
    <row r="543" spans="1:18" s="328" customFormat="1" ht="13.5" customHeight="1">
      <c r="A543" s="331"/>
      <c r="B543" s="331"/>
      <c r="C543" s="332"/>
      <c r="D543" s="331"/>
      <c r="E543" s="333"/>
      <c r="F543" s="271"/>
      <c r="G543" s="931"/>
      <c r="H543" s="931"/>
      <c r="I543" s="931"/>
      <c r="J543" s="931"/>
      <c r="K543" s="931"/>
      <c r="L543" s="931"/>
      <c r="M543" s="931"/>
      <c r="N543" s="931"/>
      <c r="O543" s="931"/>
      <c r="P543" s="931"/>
      <c r="Q543" s="931"/>
      <c r="R543" s="931"/>
    </row>
    <row r="544" spans="1:18" s="328" customFormat="1" ht="13.5" customHeight="1">
      <c r="A544" s="331"/>
      <c r="B544" s="331"/>
      <c r="C544" s="332"/>
      <c r="D544" s="331"/>
      <c r="E544" s="333"/>
      <c r="F544" s="271"/>
      <c r="G544" s="931"/>
      <c r="H544" s="931"/>
      <c r="I544" s="931"/>
      <c r="J544" s="931"/>
      <c r="K544" s="931"/>
      <c r="L544" s="931"/>
      <c r="M544" s="931"/>
      <c r="N544" s="931"/>
      <c r="O544" s="931"/>
      <c r="P544" s="931"/>
      <c r="Q544" s="931"/>
      <c r="R544" s="931"/>
    </row>
    <row r="545" spans="1:18" s="328" customFormat="1" ht="13.5" customHeight="1">
      <c r="A545" s="331"/>
      <c r="B545" s="331"/>
      <c r="C545" s="332"/>
      <c r="D545" s="331"/>
      <c r="E545" s="333"/>
      <c r="F545" s="271"/>
      <c r="G545" s="931"/>
      <c r="H545" s="931"/>
      <c r="I545" s="931"/>
      <c r="J545" s="931"/>
      <c r="K545" s="931"/>
      <c r="L545" s="931"/>
      <c r="M545" s="931"/>
      <c r="N545" s="931"/>
      <c r="O545" s="931"/>
      <c r="P545" s="931"/>
      <c r="Q545" s="931"/>
      <c r="R545" s="931"/>
    </row>
    <row r="546" spans="1:18" s="328" customFormat="1" ht="13.5" customHeight="1">
      <c r="A546" s="331"/>
      <c r="B546" s="331"/>
      <c r="C546" s="332"/>
      <c r="D546" s="331"/>
      <c r="E546" s="333"/>
      <c r="F546" s="271"/>
      <c r="G546" s="931"/>
      <c r="H546" s="931"/>
      <c r="I546" s="931"/>
      <c r="J546" s="931"/>
      <c r="K546" s="931"/>
      <c r="L546" s="931"/>
      <c r="M546" s="931"/>
      <c r="N546" s="931"/>
      <c r="O546" s="931"/>
      <c r="P546" s="931"/>
      <c r="Q546" s="931"/>
      <c r="R546" s="931"/>
    </row>
    <row r="547" spans="1:18" s="328" customFormat="1" ht="13.5" customHeight="1">
      <c r="A547" s="331"/>
      <c r="B547" s="331"/>
      <c r="C547" s="332"/>
      <c r="D547" s="331"/>
      <c r="E547" s="333"/>
      <c r="F547" s="271"/>
      <c r="G547" s="931"/>
      <c r="H547" s="931"/>
      <c r="I547" s="931"/>
      <c r="J547" s="931"/>
      <c r="K547" s="931"/>
      <c r="L547" s="931"/>
      <c r="M547" s="931"/>
      <c r="N547" s="931"/>
      <c r="O547" s="931"/>
      <c r="P547" s="931"/>
      <c r="Q547" s="931"/>
      <c r="R547" s="931"/>
    </row>
    <row r="548" spans="1:18" s="328" customFormat="1" ht="13.5" customHeight="1">
      <c r="A548" s="331"/>
      <c r="B548" s="331"/>
      <c r="C548" s="332"/>
      <c r="D548" s="331"/>
      <c r="E548" s="333"/>
      <c r="F548" s="271"/>
      <c r="G548" s="931"/>
      <c r="H548" s="931"/>
      <c r="I548" s="931"/>
      <c r="J548" s="931"/>
      <c r="K548" s="931"/>
      <c r="L548" s="931"/>
      <c r="M548" s="931"/>
      <c r="N548" s="931"/>
      <c r="O548" s="931"/>
      <c r="P548" s="931"/>
      <c r="Q548" s="931"/>
      <c r="R548" s="931"/>
    </row>
    <row r="549" spans="1:18" s="328" customFormat="1" ht="13.5" customHeight="1">
      <c r="A549" s="331"/>
      <c r="B549" s="331"/>
      <c r="C549" s="332"/>
      <c r="D549" s="331"/>
      <c r="E549" s="333"/>
      <c r="F549" s="271"/>
      <c r="G549" s="931"/>
      <c r="H549" s="931"/>
      <c r="I549" s="931"/>
      <c r="J549" s="931"/>
      <c r="K549" s="931"/>
      <c r="L549" s="931"/>
      <c r="M549" s="931"/>
      <c r="N549" s="931"/>
      <c r="O549" s="931"/>
      <c r="P549" s="931"/>
      <c r="Q549" s="931"/>
      <c r="R549" s="931"/>
    </row>
    <row r="550" spans="1:18" s="328" customFormat="1" ht="13.5" customHeight="1">
      <c r="A550" s="331"/>
      <c r="B550" s="331"/>
      <c r="C550" s="332"/>
      <c r="D550" s="331"/>
      <c r="E550" s="333"/>
      <c r="F550" s="271"/>
      <c r="G550" s="931"/>
      <c r="H550" s="931"/>
      <c r="I550" s="931"/>
      <c r="J550" s="931"/>
      <c r="K550" s="931"/>
      <c r="L550" s="931"/>
      <c r="M550" s="931"/>
      <c r="N550" s="931"/>
      <c r="O550" s="931"/>
      <c r="P550" s="931"/>
      <c r="Q550" s="931"/>
      <c r="R550" s="931"/>
    </row>
    <row r="551" spans="1:18" s="328" customFormat="1" ht="13.5" customHeight="1">
      <c r="A551" s="331"/>
      <c r="B551" s="331"/>
      <c r="C551" s="332"/>
      <c r="D551" s="331"/>
      <c r="E551" s="333"/>
      <c r="F551" s="271"/>
      <c r="G551" s="931"/>
      <c r="H551" s="931"/>
      <c r="I551" s="931"/>
      <c r="J551" s="931"/>
      <c r="K551" s="931"/>
      <c r="L551" s="931"/>
      <c r="M551" s="931"/>
      <c r="N551" s="931"/>
      <c r="O551" s="931"/>
      <c r="P551" s="931"/>
      <c r="Q551" s="931"/>
      <c r="R551" s="931"/>
    </row>
    <row r="552" spans="1:18" s="328" customFormat="1" ht="13.5" customHeight="1">
      <c r="A552" s="331"/>
      <c r="B552" s="331"/>
      <c r="C552" s="332"/>
      <c r="D552" s="331"/>
      <c r="E552" s="333"/>
      <c r="F552" s="271"/>
      <c r="G552" s="931"/>
      <c r="H552" s="931"/>
      <c r="I552" s="931"/>
      <c r="J552" s="931"/>
      <c r="K552" s="931"/>
      <c r="L552" s="931"/>
      <c r="M552" s="931"/>
      <c r="N552" s="931"/>
      <c r="O552" s="931"/>
      <c r="P552" s="931"/>
      <c r="Q552" s="931"/>
      <c r="R552" s="931"/>
    </row>
    <row r="553" spans="1:18" s="328" customFormat="1" ht="13.5" customHeight="1">
      <c r="A553" s="331"/>
      <c r="B553" s="331"/>
      <c r="C553" s="332"/>
      <c r="D553" s="331"/>
      <c r="E553" s="333"/>
      <c r="F553" s="271"/>
      <c r="G553" s="931"/>
      <c r="H553" s="931"/>
      <c r="I553" s="931"/>
      <c r="J553" s="931"/>
      <c r="K553" s="931"/>
      <c r="L553" s="931"/>
      <c r="M553" s="931"/>
      <c r="N553" s="931"/>
      <c r="O553" s="931"/>
      <c r="P553" s="931"/>
      <c r="Q553" s="931"/>
      <c r="R553" s="931"/>
    </row>
    <row r="554" spans="1:18" s="328" customFormat="1" ht="13.5" customHeight="1">
      <c r="A554" s="331"/>
      <c r="B554" s="331"/>
      <c r="C554" s="332"/>
      <c r="D554" s="331"/>
      <c r="E554" s="333"/>
      <c r="F554" s="271"/>
      <c r="G554" s="931"/>
      <c r="H554" s="931"/>
      <c r="I554" s="931"/>
      <c r="J554" s="931"/>
      <c r="K554" s="931"/>
      <c r="L554" s="931"/>
      <c r="M554" s="931"/>
      <c r="N554" s="931"/>
      <c r="O554" s="931"/>
      <c r="P554" s="931"/>
      <c r="Q554" s="931"/>
      <c r="R554" s="931"/>
    </row>
    <row r="555" spans="1:18" s="328" customFormat="1" ht="13.5" customHeight="1">
      <c r="A555" s="331"/>
      <c r="B555" s="331"/>
      <c r="C555" s="332"/>
      <c r="D555" s="331"/>
      <c r="E555" s="333"/>
      <c r="F555" s="271"/>
      <c r="G555" s="931"/>
      <c r="H555" s="931"/>
      <c r="I555" s="931"/>
      <c r="J555" s="931"/>
      <c r="K555" s="931"/>
      <c r="L555" s="931"/>
      <c r="M555" s="931"/>
      <c r="N555" s="931"/>
      <c r="O555" s="931"/>
      <c r="P555" s="931"/>
      <c r="Q555" s="931"/>
      <c r="R555" s="931"/>
    </row>
    <row r="556" spans="1:18" s="328" customFormat="1" ht="13.5" customHeight="1">
      <c r="A556" s="331"/>
      <c r="B556" s="331"/>
      <c r="C556" s="332"/>
      <c r="D556" s="331"/>
      <c r="E556" s="333"/>
      <c r="F556" s="271"/>
      <c r="G556" s="931"/>
      <c r="H556" s="931"/>
      <c r="I556" s="931"/>
      <c r="J556" s="931"/>
      <c r="K556" s="931"/>
      <c r="L556" s="931"/>
      <c r="M556" s="931"/>
      <c r="N556" s="931"/>
      <c r="O556" s="931"/>
      <c r="P556" s="931"/>
      <c r="Q556" s="931"/>
      <c r="R556" s="931"/>
    </row>
    <row r="557" spans="1:18" s="328" customFormat="1" ht="13.5" customHeight="1">
      <c r="A557" s="331"/>
      <c r="B557" s="331"/>
      <c r="C557" s="332"/>
      <c r="D557" s="331"/>
      <c r="E557" s="333"/>
      <c r="F557" s="271"/>
      <c r="G557" s="931"/>
      <c r="H557" s="931"/>
      <c r="I557" s="931"/>
      <c r="J557" s="931"/>
      <c r="K557" s="931"/>
      <c r="L557" s="931"/>
      <c r="M557" s="931"/>
      <c r="N557" s="931"/>
      <c r="O557" s="931"/>
      <c r="P557" s="931"/>
      <c r="Q557" s="931"/>
      <c r="R557" s="931"/>
    </row>
    <row r="558" spans="1:18" s="328" customFormat="1" ht="13.5" customHeight="1">
      <c r="A558" s="331"/>
      <c r="B558" s="331"/>
      <c r="C558" s="332"/>
      <c r="D558" s="331"/>
      <c r="E558" s="333"/>
      <c r="F558" s="271"/>
      <c r="G558" s="931"/>
      <c r="H558" s="931"/>
      <c r="I558" s="931"/>
      <c r="J558" s="931"/>
      <c r="K558" s="931"/>
      <c r="L558" s="931"/>
      <c r="M558" s="931"/>
      <c r="N558" s="931"/>
      <c r="O558" s="931"/>
      <c r="P558" s="931"/>
      <c r="Q558" s="931"/>
      <c r="R558" s="931"/>
    </row>
    <row r="559" spans="1:18" s="328" customFormat="1" ht="13.5" customHeight="1">
      <c r="A559" s="331"/>
      <c r="B559" s="331"/>
      <c r="C559" s="332"/>
      <c r="D559" s="331"/>
      <c r="E559" s="333"/>
      <c r="F559" s="271"/>
      <c r="G559" s="931"/>
      <c r="H559" s="931"/>
      <c r="I559" s="931"/>
      <c r="J559" s="931"/>
      <c r="K559" s="931"/>
      <c r="L559" s="931"/>
      <c r="M559" s="931"/>
      <c r="N559" s="931"/>
      <c r="O559" s="931"/>
      <c r="P559" s="931"/>
      <c r="Q559" s="931"/>
      <c r="R559" s="931"/>
    </row>
    <row r="560" spans="1:18" s="328" customFormat="1" ht="13.5" customHeight="1">
      <c r="A560" s="331"/>
      <c r="B560" s="331"/>
      <c r="C560" s="332"/>
      <c r="D560" s="331"/>
      <c r="E560" s="333"/>
      <c r="F560" s="271"/>
      <c r="G560" s="931"/>
      <c r="H560" s="931"/>
      <c r="I560" s="931"/>
      <c r="J560" s="931"/>
      <c r="K560" s="931"/>
      <c r="L560" s="931"/>
      <c r="M560" s="931"/>
      <c r="N560" s="931"/>
      <c r="O560" s="931"/>
      <c r="P560" s="931"/>
      <c r="Q560" s="931"/>
      <c r="R560" s="931"/>
    </row>
    <row r="561" spans="1:18" s="328" customFormat="1" ht="13.5" customHeight="1">
      <c r="A561" s="331"/>
      <c r="B561" s="331"/>
      <c r="C561" s="332"/>
      <c r="D561" s="331"/>
      <c r="E561" s="333"/>
      <c r="F561" s="271"/>
      <c r="G561" s="931"/>
      <c r="H561" s="931"/>
      <c r="I561" s="931"/>
      <c r="J561" s="931"/>
      <c r="K561" s="931"/>
      <c r="L561" s="931"/>
      <c r="M561" s="931"/>
      <c r="N561" s="931"/>
      <c r="O561" s="931"/>
      <c r="P561" s="931"/>
      <c r="Q561" s="931"/>
      <c r="R561" s="931"/>
    </row>
    <row r="562" spans="1:18" s="328" customFormat="1" ht="13.5" customHeight="1">
      <c r="A562" s="331"/>
      <c r="B562" s="331"/>
      <c r="C562" s="332"/>
      <c r="D562" s="331"/>
      <c r="E562" s="333"/>
      <c r="F562" s="271"/>
      <c r="G562" s="931"/>
      <c r="H562" s="931"/>
      <c r="I562" s="931"/>
      <c r="J562" s="931"/>
      <c r="K562" s="931"/>
      <c r="L562" s="931"/>
      <c r="M562" s="931"/>
      <c r="N562" s="931"/>
      <c r="O562" s="931"/>
      <c r="P562" s="931"/>
      <c r="Q562" s="931"/>
      <c r="R562" s="931"/>
    </row>
    <row r="563" spans="1:18" s="328" customFormat="1" ht="13.5" customHeight="1">
      <c r="A563" s="331"/>
      <c r="B563" s="331"/>
      <c r="C563" s="332"/>
      <c r="D563" s="331"/>
      <c r="E563" s="333"/>
      <c r="F563" s="271"/>
      <c r="G563" s="931"/>
      <c r="H563" s="931"/>
      <c r="I563" s="931"/>
      <c r="J563" s="931"/>
      <c r="K563" s="931"/>
      <c r="L563" s="931"/>
      <c r="M563" s="931"/>
      <c r="N563" s="931"/>
      <c r="O563" s="931"/>
      <c r="P563" s="931"/>
      <c r="Q563" s="931"/>
      <c r="R563" s="931"/>
    </row>
    <row r="564" spans="1:18" s="328" customFormat="1" ht="13.5" customHeight="1">
      <c r="A564" s="331"/>
      <c r="B564" s="331"/>
      <c r="C564" s="332"/>
      <c r="D564" s="331"/>
      <c r="E564" s="333"/>
      <c r="F564" s="271"/>
      <c r="G564" s="931"/>
      <c r="H564" s="931"/>
      <c r="I564" s="931"/>
      <c r="J564" s="931"/>
      <c r="K564" s="931"/>
      <c r="L564" s="931"/>
      <c r="M564" s="931"/>
      <c r="N564" s="931"/>
      <c r="O564" s="931"/>
      <c r="P564" s="931"/>
      <c r="Q564" s="931"/>
      <c r="R564" s="931"/>
    </row>
    <row r="565" spans="1:18" s="328" customFormat="1" ht="13.5" customHeight="1">
      <c r="A565" s="331"/>
      <c r="B565" s="331"/>
      <c r="C565" s="332"/>
      <c r="D565" s="331"/>
      <c r="E565" s="333"/>
      <c r="F565" s="271"/>
      <c r="G565" s="931"/>
      <c r="H565" s="931"/>
      <c r="I565" s="931"/>
      <c r="J565" s="931"/>
      <c r="K565" s="931"/>
      <c r="L565" s="931"/>
      <c r="M565" s="931"/>
      <c r="N565" s="931"/>
      <c r="O565" s="931"/>
      <c r="P565" s="931"/>
      <c r="Q565" s="931"/>
      <c r="R565" s="931"/>
    </row>
    <row r="566" spans="1:18" s="328" customFormat="1" ht="13.5" customHeight="1">
      <c r="A566" s="331"/>
      <c r="B566" s="331"/>
      <c r="C566" s="332"/>
      <c r="D566" s="331"/>
      <c r="E566" s="333"/>
      <c r="F566" s="271"/>
      <c r="G566" s="931"/>
      <c r="H566" s="931"/>
      <c r="I566" s="931"/>
      <c r="J566" s="931"/>
      <c r="K566" s="931"/>
      <c r="L566" s="931"/>
      <c r="M566" s="931"/>
      <c r="N566" s="931"/>
      <c r="O566" s="931"/>
      <c r="P566" s="931"/>
      <c r="Q566" s="931"/>
      <c r="R566" s="931"/>
    </row>
    <row r="567" spans="1:18" s="328" customFormat="1" ht="13.5" customHeight="1">
      <c r="A567" s="331"/>
      <c r="B567" s="331"/>
      <c r="C567" s="332"/>
      <c r="D567" s="331"/>
      <c r="E567" s="333"/>
      <c r="F567" s="271"/>
      <c r="G567" s="931"/>
      <c r="H567" s="931"/>
      <c r="I567" s="931"/>
      <c r="J567" s="931"/>
      <c r="K567" s="931"/>
      <c r="L567" s="931"/>
      <c r="M567" s="931"/>
      <c r="N567" s="931"/>
      <c r="O567" s="931"/>
      <c r="P567" s="931"/>
      <c r="Q567" s="931"/>
      <c r="R567" s="931"/>
    </row>
    <row r="568" spans="1:18" s="328" customFormat="1" ht="13.5" customHeight="1">
      <c r="A568" s="331"/>
      <c r="B568" s="331"/>
      <c r="C568" s="332"/>
      <c r="D568" s="331"/>
      <c r="E568" s="333"/>
      <c r="F568" s="271"/>
      <c r="G568" s="931"/>
      <c r="H568" s="931"/>
      <c r="I568" s="931"/>
      <c r="J568" s="931"/>
      <c r="K568" s="931"/>
      <c r="L568" s="931"/>
      <c r="M568" s="931"/>
      <c r="N568" s="931"/>
      <c r="O568" s="931"/>
      <c r="P568" s="931"/>
      <c r="Q568" s="931"/>
      <c r="R568" s="931"/>
    </row>
    <row r="569" spans="1:18" s="328" customFormat="1" ht="13.5" customHeight="1">
      <c r="A569" s="331"/>
      <c r="B569" s="331"/>
      <c r="C569" s="332"/>
      <c r="D569" s="331"/>
      <c r="E569" s="333"/>
      <c r="F569" s="271"/>
      <c r="G569" s="931"/>
      <c r="H569" s="931"/>
      <c r="I569" s="931"/>
      <c r="J569" s="931"/>
      <c r="K569" s="931"/>
      <c r="L569" s="931"/>
      <c r="M569" s="931"/>
      <c r="N569" s="931"/>
      <c r="O569" s="931"/>
      <c r="P569" s="931"/>
      <c r="Q569" s="931"/>
      <c r="R569" s="931"/>
    </row>
    <row r="570" spans="1:18" s="328" customFormat="1" ht="13.5" customHeight="1">
      <c r="A570" s="331"/>
      <c r="B570" s="331"/>
      <c r="C570" s="332"/>
      <c r="D570" s="331"/>
      <c r="E570" s="333"/>
      <c r="F570" s="271"/>
      <c r="G570" s="931"/>
      <c r="H570" s="931"/>
      <c r="I570" s="931"/>
      <c r="J570" s="931"/>
      <c r="K570" s="931"/>
      <c r="L570" s="931"/>
      <c r="M570" s="931"/>
      <c r="N570" s="931"/>
      <c r="O570" s="931"/>
      <c r="P570" s="931"/>
      <c r="Q570" s="931"/>
      <c r="R570" s="931"/>
    </row>
    <row r="571" spans="1:18" s="328" customFormat="1" ht="13.5" customHeight="1">
      <c r="A571" s="331"/>
      <c r="B571" s="331"/>
      <c r="C571" s="332"/>
      <c r="D571" s="331"/>
      <c r="E571" s="333"/>
      <c r="F571" s="271"/>
      <c r="G571" s="931"/>
      <c r="H571" s="931"/>
      <c r="I571" s="931"/>
      <c r="J571" s="931"/>
      <c r="K571" s="931"/>
      <c r="L571" s="931"/>
      <c r="M571" s="931"/>
      <c r="N571" s="931"/>
      <c r="O571" s="931"/>
      <c r="P571" s="931"/>
      <c r="Q571" s="931"/>
      <c r="R571" s="931"/>
    </row>
    <row r="572" spans="1:18" s="328" customFormat="1" ht="13.5" customHeight="1">
      <c r="A572" s="331"/>
      <c r="B572" s="331"/>
      <c r="C572" s="332"/>
      <c r="D572" s="331"/>
      <c r="E572" s="333"/>
      <c r="F572" s="271"/>
      <c r="G572" s="931"/>
      <c r="H572" s="931"/>
      <c r="I572" s="931"/>
      <c r="J572" s="931"/>
      <c r="K572" s="931"/>
      <c r="L572" s="931"/>
      <c r="M572" s="931"/>
      <c r="N572" s="931"/>
      <c r="O572" s="931"/>
      <c r="P572" s="931"/>
      <c r="Q572" s="931"/>
      <c r="R572" s="931"/>
    </row>
    <row r="573" spans="1:18" s="328" customFormat="1" ht="13.5" customHeight="1">
      <c r="A573" s="331"/>
      <c r="B573" s="331"/>
      <c r="C573" s="332"/>
      <c r="D573" s="331"/>
      <c r="E573" s="333"/>
      <c r="F573" s="271"/>
      <c r="G573" s="931"/>
      <c r="H573" s="931"/>
      <c r="I573" s="931"/>
      <c r="J573" s="931"/>
      <c r="K573" s="931"/>
      <c r="L573" s="931"/>
      <c r="M573" s="931"/>
      <c r="N573" s="931"/>
      <c r="O573" s="931"/>
      <c r="P573" s="931"/>
      <c r="Q573" s="931"/>
      <c r="R573" s="931"/>
    </row>
    <row r="574" spans="1:18" s="328" customFormat="1" ht="13.5" customHeight="1">
      <c r="A574" s="331"/>
      <c r="B574" s="331"/>
      <c r="C574" s="332"/>
      <c r="D574" s="331"/>
      <c r="E574" s="333"/>
      <c r="F574" s="271"/>
      <c r="G574" s="931"/>
      <c r="H574" s="931"/>
      <c r="I574" s="931"/>
      <c r="J574" s="931"/>
      <c r="K574" s="931"/>
      <c r="L574" s="931"/>
      <c r="M574" s="931"/>
      <c r="N574" s="931"/>
      <c r="O574" s="931"/>
      <c r="P574" s="931"/>
      <c r="Q574" s="931"/>
      <c r="R574" s="931"/>
    </row>
    <row r="575" spans="1:18" s="328" customFormat="1" ht="13.5" customHeight="1">
      <c r="A575" s="331"/>
      <c r="B575" s="331"/>
      <c r="C575" s="332"/>
      <c r="D575" s="331"/>
      <c r="E575" s="333"/>
      <c r="F575" s="271"/>
      <c r="G575" s="931"/>
      <c r="H575" s="931"/>
      <c r="I575" s="931"/>
      <c r="J575" s="931"/>
      <c r="K575" s="931"/>
      <c r="L575" s="931"/>
      <c r="M575" s="931"/>
      <c r="N575" s="931"/>
      <c r="O575" s="931"/>
      <c r="P575" s="931"/>
      <c r="Q575" s="931"/>
      <c r="R575" s="931"/>
    </row>
    <row r="576" spans="1:18" s="328" customFormat="1" ht="13.5" customHeight="1">
      <c r="A576" s="331"/>
      <c r="B576" s="331"/>
      <c r="C576" s="332"/>
      <c r="D576" s="331"/>
      <c r="E576" s="333"/>
      <c r="F576" s="271"/>
      <c r="G576" s="931"/>
      <c r="H576" s="931"/>
      <c r="I576" s="931"/>
      <c r="J576" s="931"/>
      <c r="K576" s="931"/>
      <c r="L576" s="931"/>
      <c r="M576" s="931"/>
      <c r="N576" s="931"/>
      <c r="O576" s="931"/>
      <c r="P576" s="931"/>
      <c r="Q576" s="931"/>
      <c r="R576" s="931"/>
    </row>
    <row r="577" spans="1:18" s="328" customFormat="1" ht="13.5" customHeight="1">
      <c r="A577" s="331"/>
      <c r="B577" s="331"/>
      <c r="C577" s="332"/>
      <c r="D577" s="331"/>
      <c r="E577" s="333"/>
      <c r="F577" s="271"/>
      <c r="G577" s="931"/>
      <c r="H577" s="931"/>
      <c r="I577" s="931"/>
      <c r="J577" s="931"/>
      <c r="K577" s="931"/>
      <c r="L577" s="931"/>
      <c r="M577" s="931"/>
      <c r="N577" s="931"/>
      <c r="O577" s="931"/>
      <c r="P577" s="931"/>
      <c r="Q577" s="931"/>
      <c r="R577" s="931"/>
    </row>
    <row r="578" spans="1:18" s="328" customFormat="1" ht="13.5" customHeight="1">
      <c r="A578" s="331"/>
      <c r="B578" s="331"/>
      <c r="C578" s="332"/>
      <c r="D578" s="331"/>
      <c r="E578" s="333"/>
      <c r="F578" s="271"/>
      <c r="G578" s="931"/>
      <c r="H578" s="931"/>
      <c r="I578" s="931"/>
      <c r="J578" s="931"/>
      <c r="K578" s="931"/>
      <c r="L578" s="931"/>
      <c r="M578" s="931"/>
      <c r="N578" s="931"/>
      <c r="O578" s="931"/>
      <c r="P578" s="931"/>
      <c r="Q578" s="931"/>
      <c r="R578" s="931"/>
    </row>
    <row r="579" spans="1:18" s="328" customFormat="1" ht="13.5" customHeight="1">
      <c r="A579" s="331"/>
      <c r="B579" s="331"/>
      <c r="C579" s="332"/>
      <c r="D579" s="331"/>
      <c r="E579" s="333"/>
      <c r="F579" s="271"/>
      <c r="G579" s="931"/>
      <c r="H579" s="931"/>
      <c r="I579" s="931"/>
      <c r="J579" s="931"/>
      <c r="K579" s="931"/>
      <c r="L579" s="931"/>
      <c r="M579" s="931"/>
      <c r="N579" s="931"/>
      <c r="O579" s="931"/>
      <c r="P579" s="931"/>
      <c r="Q579" s="931"/>
      <c r="R579" s="931"/>
    </row>
    <row r="580" spans="1:18" s="328" customFormat="1" ht="13.5" customHeight="1">
      <c r="A580" s="331"/>
      <c r="B580" s="331"/>
      <c r="C580" s="332"/>
      <c r="D580" s="331"/>
      <c r="E580" s="333"/>
      <c r="F580" s="271"/>
      <c r="G580" s="931"/>
      <c r="H580" s="931"/>
      <c r="I580" s="931"/>
      <c r="J580" s="931"/>
      <c r="K580" s="931"/>
      <c r="L580" s="931"/>
      <c r="M580" s="931"/>
      <c r="N580" s="931"/>
      <c r="O580" s="931"/>
      <c r="P580" s="931"/>
      <c r="Q580" s="931"/>
      <c r="R580" s="931"/>
    </row>
    <row r="581" spans="1:18" s="328" customFormat="1" ht="13.5" customHeight="1">
      <c r="A581" s="331"/>
      <c r="B581" s="331"/>
      <c r="C581" s="332"/>
      <c r="D581" s="331"/>
      <c r="E581" s="333"/>
      <c r="F581" s="271"/>
      <c r="G581" s="931"/>
      <c r="H581" s="931"/>
      <c r="I581" s="931"/>
      <c r="J581" s="931"/>
      <c r="K581" s="931"/>
      <c r="L581" s="931"/>
      <c r="M581" s="931"/>
      <c r="N581" s="931"/>
      <c r="O581" s="931"/>
      <c r="P581" s="931"/>
      <c r="Q581" s="931"/>
      <c r="R581" s="931"/>
    </row>
    <row r="582" spans="1:18" s="328" customFormat="1" ht="13.5" customHeight="1">
      <c r="A582" s="331"/>
      <c r="B582" s="331"/>
      <c r="C582" s="332"/>
      <c r="D582" s="331"/>
      <c r="E582" s="333"/>
      <c r="F582" s="271"/>
      <c r="G582" s="931"/>
      <c r="H582" s="931"/>
      <c r="I582" s="931"/>
      <c r="J582" s="931"/>
      <c r="K582" s="931"/>
      <c r="L582" s="931"/>
      <c r="M582" s="931"/>
      <c r="N582" s="931"/>
      <c r="O582" s="931"/>
      <c r="P582" s="931"/>
      <c r="Q582" s="931"/>
      <c r="R582" s="931"/>
    </row>
    <row r="583" spans="1:18" s="328" customFormat="1" ht="13.5" customHeight="1">
      <c r="A583" s="331"/>
      <c r="B583" s="331"/>
      <c r="C583" s="332"/>
      <c r="D583" s="331"/>
      <c r="E583" s="333"/>
      <c r="F583" s="271"/>
      <c r="G583" s="931"/>
      <c r="H583" s="931"/>
      <c r="I583" s="931"/>
      <c r="J583" s="931"/>
      <c r="K583" s="931"/>
      <c r="L583" s="931"/>
      <c r="M583" s="931"/>
      <c r="N583" s="931"/>
      <c r="O583" s="931"/>
      <c r="P583" s="931"/>
      <c r="Q583" s="931"/>
      <c r="R583" s="931"/>
    </row>
    <row r="584" spans="1:18" s="328" customFormat="1" ht="13.5" customHeight="1">
      <c r="A584" s="331"/>
      <c r="B584" s="331"/>
      <c r="C584" s="332"/>
      <c r="D584" s="331"/>
      <c r="E584" s="333"/>
      <c r="F584" s="271"/>
      <c r="G584" s="931"/>
      <c r="H584" s="931"/>
      <c r="I584" s="931"/>
      <c r="J584" s="931"/>
      <c r="K584" s="931"/>
      <c r="L584" s="931"/>
      <c r="M584" s="931"/>
      <c r="N584" s="931"/>
      <c r="O584" s="931"/>
      <c r="P584" s="931"/>
      <c r="Q584" s="931"/>
      <c r="R584" s="931"/>
    </row>
    <row r="585" spans="1:18" s="328" customFormat="1" ht="13.5" customHeight="1">
      <c r="A585" s="331"/>
      <c r="B585" s="331"/>
      <c r="C585" s="332"/>
      <c r="D585" s="331"/>
      <c r="E585" s="333"/>
      <c r="F585" s="271"/>
      <c r="G585" s="931"/>
      <c r="H585" s="931"/>
      <c r="I585" s="931"/>
      <c r="J585" s="931"/>
      <c r="K585" s="931"/>
      <c r="L585" s="931"/>
      <c r="M585" s="931"/>
      <c r="N585" s="931"/>
      <c r="O585" s="931"/>
      <c r="P585" s="931"/>
      <c r="Q585" s="931"/>
      <c r="R585" s="931"/>
    </row>
    <row r="586" spans="1:18" s="328" customFormat="1" ht="13.5" customHeight="1">
      <c r="A586" s="331"/>
      <c r="B586" s="331"/>
      <c r="C586" s="332"/>
      <c r="D586" s="331"/>
      <c r="E586" s="333"/>
      <c r="F586" s="271"/>
      <c r="G586" s="931"/>
      <c r="H586" s="931"/>
      <c r="I586" s="931"/>
      <c r="J586" s="931"/>
      <c r="K586" s="931"/>
      <c r="L586" s="931"/>
      <c r="M586" s="931"/>
      <c r="N586" s="931"/>
      <c r="O586" s="931"/>
      <c r="P586" s="931"/>
      <c r="Q586" s="931"/>
      <c r="R586" s="931"/>
    </row>
    <row r="587" spans="1:18" s="328" customFormat="1" ht="13.5" customHeight="1">
      <c r="A587" s="331"/>
      <c r="B587" s="331"/>
      <c r="C587" s="332"/>
      <c r="D587" s="331"/>
      <c r="E587" s="333"/>
      <c r="F587" s="271"/>
      <c r="G587" s="931"/>
      <c r="H587" s="931"/>
      <c r="I587" s="931"/>
      <c r="J587" s="931"/>
      <c r="K587" s="931"/>
      <c r="L587" s="931"/>
      <c r="M587" s="931"/>
      <c r="N587" s="931"/>
      <c r="O587" s="931"/>
      <c r="P587" s="931"/>
      <c r="Q587" s="931"/>
      <c r="R587" s="931"/>
    </row>
    <row r="588" spans="1:18" s="328" customFormat="1" ht="13.5" customHeight="1">
      <c r="A588" s="331"/>
      <c r="B588" s="331"/>
      <c r="C588" s="332"/>
      <c r="D588" s="331"/>
      <c r="E588" s="333"/>
      <c r="F588" s="271"/>
      <c r="G588" s="931"/>
      <c r="H588" s="931"/>
      <c r="I588" s="931"/>
      <c r="J588" s="931"/>
      <c r="K588" s="931"/>
      <c r="L588" s="931"/>
      <c r="M588" s="931"/>
      <c r="N588" s="931"/>
      <c r="O588" s="931"/>
      <c r="P588" s="931"/>
      <c r="Q588" s="931"/>
      <c r="R588" s="931"/>
    </row>
    <row r="589" spans="1:18" s="328" customFormat="1" ht="13.5" customHeight="1">
      <c r="A589" s="331"/>
      <c r="B589" s="331"/>
      <c r="C589" s="332"/>
      <c r="D589" s="331"/>
      <c r="E589" s="333"/>
      <c r="F589" s="271"/>
      <c r="G589" s="931"/>
      <c r="H589" s="931"/>
      <c r="I589" s="931"/>
      <c r="J589" s="931"/>
      <c r="K589" s="931"/>
      <c r="L589" s="931"/>
      <c r="M589" s="931"/>
      <c r="N589" s="931"/>
      <c r="O589" s="931"/>
      <c r="P589" s="931"/>
      <c r="Q589" s="931"/>
      <c r="R589" s="931"/>
    </row>
    <row r="590" spans="1:18" s="328" customFormat="1" ht="13.5" customHeight="1">
      <c r="A590" s="331"/>
      <c r="B590" s="331"/>
      <c r="C590" s="332"/>
      <c r="D590" s="331"/>
      <c r="E590" s="333"/>
      <c r="F590" s="271"/>
      <c r="G590" s="931"/>
      <c r="H590" s="931"/>
      <c r="I590" s="931"/>
      <c r="J590" s="931"/>
      <c r="K590" s="931"/>
      <c r="L590" s="931"/>
      <c r="M590" s="931"/>
      <c r="N590" s="931"/>
      <c r="O590" s="931"/>
      <c r="P590" s="931"/>
      <c r="Q590" s="931"/>
      <c r="R590" s="931"/>
    </row>
    <row r="591" spans="1:18" s="328" customFormat="1" ht="13.5" customHeight="1">
      <c r="A591" s="331"/>
      <c r="B591" s="331"/>
      <c r="C591" s="332"/>
      <c r="D591" s="331"/>
      <c r="E591" s="333"/>
      <c r="F591" s="271"/>
      <c r="G591" s="931"/>
      <c r="H591" s="931"/>
      <c r="I591" s="931"/>
      <c r="J591" s="931"/>
      <c r="K591" s="931"/>
      <c r="L591" s="931"/>
      <c r="M591" s="931"/>
      <c r="N591" s="931"/>
      <c r="O591" s="931"/>
      <c r="P591" s="931"/>
      <c r="Q591" s="931"/>
      <c r="R591" s="931"/>
    </row>
    <row r="592" spans="1:18" s="328" customFormat="1" ht="13.5" customHeight="1">
      <c r="A592" s="331"/>
      <c r="B592" s="331"/>
      <c r="C592" s="332"/>
      <c r="D592" s="331"/>
      <c r="E592" s="333"/>
      <c r="F592" s="271"/>
      <c r="G592" s="931"/>
      <c r="H592" s="931"/>
      <c r="I592" s="931"/>
      <c r="J592" s="931"/>
      <c r="K592" s="931"/>
      <c r="L592" s="931"/>
      <c r="M592" s="931"/>
      <c r="N592" s="931"/>
      <c r="O592" s="931"/>
      <c r="P592" s="931"/>
      <c r="Q592" s="931"/>
      <c r="R592" s="931"/>
    </row>
    <row r="593" spans="1:18" s="328" customFormat="1" ht="13.5" customHeight="1">
      <c r="A593" s="331"/>
      <c r="B593" s="331"/>
      <c r="C593" s="332"/>
      <c r="D593" s="331"/>
      <c r="E593" s="333"/>
      <c r="F593" s="271"/>
      <c r="G593" s="931"/>
      <c r="H593" s="931"/>
      <c r="I593" s="931"/>
      <c r="J593" s="931"/>
      <c r="K593" s="931"/>
      <c r="L593" s="931"/>
      <c r="M593" s="931"/>
      <c r="N593" s="931"/>
      <c r="O593" s="931"/>
      <c r="P593" s="931"/>
      <c r="Q593" s="931"/>
      <c r="R593" s="931"/>
    </row>
    <row r="594" spans="1:18" s="328" customFormat="1" ht="13.5" customHeight="1">
      <c r="A594" s="331"/>
      <c r="B594" s="331"/>
      <c r="C594" s="332"/>
      <c r="D594" s="331"/>
      <c r="E594" s="333"/>
      <c r="F594" s="271"/>
      <c r="G594" s="931"/>
      <c r="H594" s="931"/>
      <c r="I594" s="931"/>
      <c r="J594" s="931"/>
      <c r="K594" s="931"/>
      <c r="L594" s="931"/>
      <c r="M594" s="931"/>
      <c r="N594" s="931"/>
      <c r="O594" s="931"/>
      <c r="P594" s="931"/>
      <c r="Q594" s="931"/>
      <c r="R594" s="931"/>
    </row>
    <row r="595" spans="1:18" s="328" customFormat="1" ht="13.5" customHeight="1">
      <c r="A595" s="331"/>
      <c r="B595" s="331"/>
      <c r="C595" s="332"/>
      <c r="D595" s="331"/>
      <c r="E595" s="333"/>
      <c r="F595" s="271"/>
      <c r="G595" s="931"/>
      <c r="H595" s="931"/>
      <c r="I595" s="931"/>
      <c r="J595" s="931"/>
      <c r="K595" s="931"/>
      <c r="L595" s="931"/>
      <c r="M595" s="931"/>
      <c r="N595" s="931"/>
      <c r="O595" s="931"/>
      <c r="P595" s="931"/>
      <c r="Q595" s="931"/>
      <c r="R595" s="931"/>
    </row>
    <row r="596" spans="1:18" s="328" customFormat="1" ht="13.5" customHeight="1">
      <c r="A596" s="331"/>
      <c r="B596" s="331"/>
      <c r="C596" s="332"/>
      <c r="D596" s="331"/>
      <c r="E596" s="333"/>
      <c r="F596" s="271"/>
      <c r="G596" s="931"/>
      <c r="H596" s="931"/>
      <c r="I596" s="931"/>
      <c r="J596" s="931"/>
      <c r="K596" s="931"/>
      <c r="L596" s="931"/>
      <c r="M596" s="931"/>
      <c r="N596" s="931"/>
      <c r="O596" s="931"/>
      <c r="P596" s="931"/>
      <c r="Q596" s="931"/>
      <c r="R596" s="931"/>
    </row>
    <row r="597" spans="1:18" s="328" customFormat="1" ht="13.5" customHeight="1">
      <c r="A597" s="331"/>
      <c r="B597" s="331"/>
      <c r="C597" s="332"/>
      <c r="D597" s="331"/>
      <c r="E597" s="333"/>
      <c r="F597" s="271"/>
      <c r="G597" s="931"/>
      <c r="H597" s="931"/>
      <c r="I597" s="931"/>
      <c r="J597" s="931"/>
      <c r="K597" s="931"/>
      <c r="L597" s="931"/>
      <c r="M597" s="931"/>
      <c r="N597" s="931"/>
      <c r="O597" s="931"/>
      <c r="P597" s="931"/>
      <c r="Q597" s="931"/>
      <c r="R597" s="931"/>
    </row>
    <row r="598" spans="1:18" s="328" customFormat="1" ht="13.5" customHeight="1">
      <c r="A598" s="331"/>
      <c r="B598" s="331"/>
      <c r="C598" s="332"/>
      <c r="D598" s="331"/>
      <c r="E598" s="333"/>
      <c r="F598" s="271"/>
      <c r="G598" s="931"/>
      <c r="H598" s="931"/>
      <c r="I598" s="931"/>
      <c r="J598" s="931"/>
      <c r="K598" s="931"/>
      <c r="L598" s="931"/>
      <c r="M598" s="931"/>
      <c r="N598" s="931"/>
      <c r="O598" s="931"/>
      <c r="P598" s="931"/>
      <c r="Q598" s="931"/>
      <c r="R598" s="931"/>
    </row>
    <row r="599" spans="1:18" s="328" customFormat="1" ht="13.5" customHeight="1">
      <c r="A599" s="331"/>
      <c r="B599" s="331"/>
      <c r="C599" s="332"/>
      <c r="D599" s="331"/>
      <c r="E599" s="333"/>
      <c r="F599" s="271"/>
      <c r="G599" s="931"/>
      <c r="H599" s="931"/>
      <c r="I599" s="931"/>
      <c r="J599" s="931"/>
      <c r="K599" s="931"/>
      <c r="L599" s="931"/>
      <c r="M599" s="931"/>
      <c r="N599" s="931"/>
      <c r="O599" s="931"/>
      <c r="P599" s="931"/>
      <c r="Q599" s="931"/>
      <c r="R599" s="931"/>
    </row>
    <row r="600" spans="1:18" s="328" customFormat="1" ht="13.5" customHeight="1">
      <c r="A600" s="331"/>
      <c r="B600" s="331"/>
      <c r="C600" s="332"/>
      <c r="D600" s="331"/>
      <c r="E600" s="333"/>
      <c r="F600" s="271"/>
      <c r="G600" s="931"/>
      <c r="H600" s="931"/>
      <c r="I600" s="931"/>
      <c r="J600" s="931"/>
      <c r="K600" s="931"/>
      <c r="L600" s="931"/>
      <c r="M600" s="931"/>
      <c r="N600" s="931"/>
      <c r="O600" s="931"/>
      <c r="P600" s="931"/>
      <c r="Q600" s="931"/>
      <c r="R600" s="931"/>
    </row>
    <row r="601" spans="1:18" s="328" customFormat="1" ht="13.5" customHeight="1">
      <c r="A601" s="331"/>
      <c r="B601" s="331"/>
      <c r="C601" s="332"/>
      <c r="D601" s="331"/>
      <c r="E601" s="333"/>
      <c r="F601" s="271"/>
      <c r="G601" s="931"/>
      <c r="H601" s="931"/>
      <c r="I601" s="931"/>
      <c r="J601" s="931"/>
      <c r="K601" s="931"/>
      <c r="L601" s="931"/>
      <c r="M601" s="931"/>
      <c r="N601" s="931"/>
      <c r="O601" s="931"/>
      <c r="P601" s="931"/>
      <c r="Q601" s="931"/>
      <c r="R601" s="931"/>
    </row>
    <row r="602" spans="1:18" s="328" customFormat="1" ht="13.5" customHeight="1">
      <c r="A602" s="331"/>
      <c r="B602" s="331"/>
      <c r="C602" s="332"/>
      <c r="D602" s="331"/>
      <c r="E602" s="333"/>
      <c r="F602" s="271"/>
      <c r="G602" s="931"/>
      <c r="H602" s="931"/>
      <c r="I602" s="931"/>
      <c r="J602" s="931"/>
      <c r="K602" s="931"/>
      <c r="L602" s="931"/>
      <c r="M602" s="931"/>
      <c r="N602" s="931"/>
      <c r="O602" s="931"/>
      <c r="P602" s="931"/>
      <c r="Q602" s="931"/>
      <c r="R602" s="931"/>
    </row>
    <row r="603" spans="1:18" s="328" customFormat="1" ht="13.5" customHeight="1">
      <c r="A603" s="331"/>
      <c r="B603" s="331"/>
      <c r="C603" s="332"/>
      <c r="D603" s="331"/>
      <c r="E603" s="333"/>
      <c r="F603" s="271"/>
      <c r="G603" s="931"/>
      <c r="H603" s="931"/>
      <c r="I603" s="931"/>
      <c r="J603" s="931"/>
      <c r="K603" s="931"/>
      <c r="L603" s="931"/>
      <c r="M603" s="931"/>
      <c r="N603" s="931"/>
      <c r="O603" s="931"/>
      <c r="P603" s="931"/>
      <c r="Q603" s="931"/>
      <c r="R603" s="931"/>
    </row>
    <row r="604" spans="1:18" s="328" customFormat="1" ht="13.5" customHeight="1">
      <c r="A604" s="331"/>
      <c r="B604" s="331"/>
      <c r="C604" s="332"/>
      <c r="D604" s="331"/>
      <c r="E604" s="333"/>
      <c r="F604" s="271"/>
      <c r="G604" s="931"/>
      <c r="H604" s="931"/>
      <c r="I604" s="931"/>
      <c r="J604" s="931"/>
      <c r="K604" s="931"/>
      <c r="L604" s="931"/>
      <c r="M604" s="931"/>
      <c r="N604" s="931"/>
      <c r="O604" s="931"/>
      <c r="P604" s="931"/>
      <c r="Q604" s="931"/>
      <c r="R604" s="931"/>
    </row>
    <row r="605" spans="1:18" s="328" customFormat="1" ht="13.5" customHeight="1">
      <c r="A605" s="331"/>
      <c r="B605" s="331"/>
      <c r="C605" s="332"/>
      <c r="D605" s="331"/>
      <c r="E605" s="333"/>
      <c r="F605" s="271"/>
      <c r="G605" s="931"/>
      <c r="H605" s="931"/>
      <c r="I605" s="931"/>
      <c r="J605" s="931"/>
      <c r="K605" s="931"/>
      <c r="L605" s="931"/>
      <c r="M605" s="931"/>
      <c r="N605" s="931"/>
      <c r="O605" s="931"/>
      <c r="P605" s="931"/>
      <c r="Q605" s="931"/>
      <c r="R605" s="931"/>
    </row>
    <row r="606" spans="1:18" s="328" customFormat="1" ht="13.5" customHeight="1">
      <c r="A606" s="331"/>
      <c r="B606" s="331"/>
      <c r="C606" s="332"/>
      <c r="D606" s="331"/>
      <c r="E606" s="333"/>
      <c r="F606" s="271"/>
      <c r="G606" s="931"/>
      <c r="H606" s="931"/>
      <c r="I606" s="931"/>
      <c r="J606" s="931"/>
      <c r="K606" s="931"/>
      <c r="L606" s="931"/>
      <c r="M606" s="931"/>
      <c r="N606" s="931"/>
      <c r="O606" s="931"/>
      <c r="P606" s="931"/>
      <c r="Q606" s="931"/>
      <c r="R606" s="931"/>
    </row>
    <row r="607" spans="1:18" s="328" customFormat="1" ht="13.5" customHeight="1">
      <c r="A607" s="331"/>
      <c r="B607" s="331"/>
      <c r="C607" s="332"/>
      <c r="D607" s="331"/>
      <c r="E607" s="333"/>
      <c r="F607" s="271"/>
      <c r="G607" s="931"/>
      <c r="H607" s="931"/>
      <c r="I607" s="931"/>
      <c r="J607" s="931"/>
      <c r="K607" s="931"/>
      <c r="L607" s="931"/>
      <c r="M607" s="931"/>
      <c r="N607" s="931"/>
      <c r="O607" s="931"/>
      <c r="P607" s="931"/>
      <c r="Q607" s="931"/>
      <c r="R607" s="931"/>
    </row>
    <row r="608" spans="1:18" s="328" customFormat="1" ht="13.5" customHeight="1">
      <c r="A608" s="331"/>
      <c r="B608" s="331"/>
      <c r="C608" s="332"/>
      <c r="D608" s="331"/>
      <c r="E608" s="333"/>
      <c r="F608" s="271"/>
      <c r="G608" s="931"/>
      <c r="H608" s="931"/>
      <c r="I608" s="931"/>
      <c r="J608" s="931"/>
      <c r="K608" s="931"/>
      <c r="L608" s="931"/>
      <c r="M608" s="931"/>
      <c r="N608" s="931"/>
      <c r="O608" s="931"/>
      <c r="P608" s="931"/>
      <c r="Q608" s="931"/>
      <c r="R608" s="931"/>
    </row>
    <row r="609" spans="1:18" s="328" customFormat="1" ht="13.5" customHeight="1">
      <c r="A609" s="331"/>
      <c r="B609" s="331"/>
      <c r="C609" s="332"/>
      <c r="D609" s="331"/>
      <c r="E609" s="333"/>
      <c r="F609" s="271"/>
      <c r="G609" s="931"/>
      <c r="H609" s="931"/>
      <c r="I609" s="931"/>
      <c r="J609" s="931"/>
      <c r="K609" s="931"/>
      <c r="L609" s="931"/>
      <c r="M609" s="931"/>
      <c r="N609" s="931"/>
      <c r="O609" s="931"/>
      <c r="P609" s="931"/>
      <c r="Q609" s="931"/>
      <c r="R609" s="931"/>
    </row>
    <row r="610" spans="1:18" s="328" customFormat="1" ht="13.5" customHeight="1">
      <c r="A610" s="331"/>
      <c r="B610" s="331"/>
      <c r="C610" s="332"/>
      <c r="D610" s="331"/>
      <c r="E610" s="333"/>
      <c r="F610" s="271"/>
      <c r="G610" s="931"/>
      <c r="H610" s="931"/>
      <c r="I610" s="931"/>
      <c r="J610" s="931"/>
      <c r="K610" s="931"/>
      <c r="L610" s="931"/>
      <c r="M610" s="931"/>
      <c r="N610" s="931"/>
      <c r="O610" s="931"/>
      <c r="P610" s="931"/>
      <c r="Q610" s="931"/>
      <c r="R610" s="931"/>
    </row>
    <row r="611" spans="1:18" s="328" customFormat="1" ht="13.5" customHeight="1">
      <c r="A611" s="331"/>
      <c r="B611" s="331"/>
      <c r="C611" s="332"/>
      <c r="D611" s="331"/>
      <c r="E611" s="333"/>
      <c r="F611" s="271"/>
      <c r="G611" s="931"/>
      <c r="H611" s="931"/>
      <c r="I611" s="931"/>
      <c r="J611" s="931"/>
      <c r="K611" s="931"/>
      <c r="L611" s="931"/>
      <c r="M611" s="931"/>
      <c r="N611" s="931"/>
      <c r="O611" s="931"/>
      <c r="P611" s="931"/>
      <c r="Q611" s="931"/>
      <c r="R611" s="931"/>
    </row>
    <row r="612" spans="1:18" s="328" customFormat="1" ht="13.5" customHeight="1">
      <c r="A612" s="331"/>
      <c r="B612" s="331"/>
      <c r="C612" s="332"/>
      <c r="D612" s="331"/>
      <c r="E612" s="333"/>
      <c r="F612" s="271"/>
      <c r="G612" s="931"/>
      <c r="H612" s="931"/>
      <c r="I612" s="931"/>
      <c r="J612" s="931"/>
      <c r="K612" s="931"/>
      <c r="L612" s="931"/>
      <c r="M612" s="931"/>
      <c r="N612" s="931"/>
      <c r="O612" s="931"/>
      <c r="P612" s="931"/>
      <c r="Q612" s="931"/>
      <c r="R612" s="931"/>
    </row>
    <row r="613" spans="1:18" s="328" customFormat="1" ht="13.5" customHeight="1">
      <c r="A613" s="331"/>
      <c r="B613" s="331"/>
      <c r="C613" s="332"/>
      <c r="D613" s="331"/>
      <c r="E613" s="333"/>
      <c r="F613" s="271"/>
      <c r="G613" s="931"/>
      <c r="H613" s="931"/>
      <c r="I613" s="931"/>
      <c r="J613" s="931"/>
      <c r="K613" s="931"/>
      <c r="L613" s="931"/>
      <c r="M613" s="931"/>
      <c r="N613" s="931"/>
      <c r="O613" s="931"/>
      <c r="P613" s="931"/>
      <c r="Q613" s="931"/>
      <c r="R613" s="931"/>
    </row>
    <row r="614" spans="1:18" s="328" customFormat="1" ht="13.5" customHeight="1">
      <c r="A614" s="331"/>
      <c r="B614" s="331"/>
      <c r="C614" s="332"/>
      <c r="D614" s="331"/>
      <c r="E614" s="333"/>
      <c r="F614" s="271"/>
      <c r="G614" s="931"/>
      <c r="H614" s="931"/>
      <c r="I614" s="931"/>
      <c r="J614" s="931"/>
      <c r="K614" s="931"/>
      <c r="L614" s="931"/>
      <c r="M614" s="931"/>
      <c r="N614" s="931"/>
      <c r="O614" s="931"/>
      <c r="P614" s="931"/>
      <c r="Q614" s="931"/>
      <c r="R614" s="931"/>
    </row>
    <row r="615" spans="1:18" s="328" customFormat="1" ht="13.5" customHeight="1">
      <c r="A615" s="331"/>
      <c r="B615" s="331"/>
      <c r="C615" s="332"/>
      <c r="D615" s="331"/>
      <c r="E615" s="333"/>
      <c r="F615" s="271"/>
      <c r="G615" s="931"/>
      <c r="H615" s="931"/>
      <c r="I615" s="931"/>
      <c r="J615" s="931"/>
      <c r="K615" s="931"/>
      <c r="L615" s="931"/>
      <c r="M615" s="931"/>
      <c r="N615" s="931"/>
      <c r="O615" s="931"/>
      <c r="P615" s="931"/>
      <c r="Q615" s="931"/>
      <c r="R615" s="931"/>
    </row>
    <row r="616" spans="1:18" s="328" customFormat="1" ht="13.5" customHeight="1">
      <c r="A616" s="331"/>
      <c r="B616" s="331"/>
      <c r="C616" s="332"/>
      <c r="D616" s="331"/>
      <c r="E616" s="333"/>
      <c r="F616" s="271"/>
      <c r="G616" s="931"/>
      <c r="H616" s="931"/>
      <c r="I616" s="931"/>
      <c r="J616" s="931"/>
      <c r="K616" s="931"/>
      <c r="L616" s="931"/>
      <c r="M616" s="931"/>
      <c r="N616" s="931"/>
      <c r="O616" s="931"/>
      <c r="P616" s="931"/>
      <c r="Q616" s="931"/>
      <c r="R616" s="931"/>
    </row>
    <row r="617" spans="1:18" s="328" customFormat="1" ht="13.5" customHeight="1">
      <c r="A617" s="331"/>
      <c r="B617" s="331"/>
      <c r="C617" s="332"/>
      <c r="D617" s="331"/>
      <c r="E617" s="333"/>
      <c r="F617" s="271"/>
      <c r="G617" s="931"/>
      <c r="H617" s="931"/>
      <c r="I617" s="931"/>
      <c r="J617" s="931"/>
      <c r="K617" s="931"/>
      <c r="L617" s="931"/>
      <c r="M617" s="931"/>
      <c r="N617" s="931"/>
      <c r="O617" s="931"/>
      <c r="P617" s="931"/>
      <c r="Q617" s="931"/>
      <c r="R617" s="931"/>
    </row>
    <row r="618" spans="1:18" s="328" customFormat="1" ht="13.5" customHeight="1">
      <c r="A618" s="331"/>
      <c r="B618" s="331"/>
      <c r="C618" s="332"/>
      <c r="D618" s="331"/>
      <c r="E618" s="333"/>
      <c r="F618" s="271"/>
      <c r="G618" s="931"/>
      <c r="H618" s="931"/>
      <c r="I618" s="931"/>
      <c r="J618" s="931"/>
      <c r="K618" s="931"/>
      <c r="L618" s="931"/>
      <c r="M618" s="931"/>
      <c r="N618" s="931"/>
      <c r="O618" s="931"/>
      <c r="P618" s="931"/>
      <c r="Q618" s="931"/>
      <c r="R618" s="931"/>
    </row>
    <row r="619" spans="1:18" s="328" customFormat="1" ht="13.5" customHeight="1">
      <c r="A619" s="331"/>
      <c r="B619" s="331"/>
      <c r="C619" s="332"/>
      <c r="D619" s="331"/>
      <c r="E619" s="333"/>
      <c r="F619" s="271"/>
      <c r="G619" s="931"/>
      <c r="H619" s="931"/>
      <c r="I619" s="931"/>
      <c r="J619" s="931"/>
      <c r="K619" s="931"/>
      <c r="L619" s="931"/>
      <c r="M619" s="931"/>
      <c r="N619" s="931"/>
      <c r="O619" s="931"/>
      <c r="P619" s="931"/>
      <c r="Q619" s="931"/>
      <c r="R619" s="931"/>
    </row>
    <row r="620" spans="1:18" s="328" customFormat="1" ht="13.5" customHeight="1">
      <c r="A620" s="331"/>
      <c r="B620" s="331"/>
      <c r="C620" s="332"/>
      <c r="D620" s="331"/>
      <c r="E620" s="333"/>
      <c r="F620" s="271"/>
      <c r="G620" s="931"/>
      <c r="H620" s="931"/>
      <c r="I620" s="931"/>
      <c r="J620" s="931"/>
      <c r="K620" s="931"/>
      <c r="L620" s="931"/>
      <c r="M620" s="931"/>
      <c r="N620" s="931"/>
      <c r="O620" s="931"/>
      <c r="P620" s="931"/>
      <c r="Q620" s="931"/>
      <c r="R620" s="931"/>
    </row>
    <row r="621" spans="1:18" s="328" customFormat="1" ht="13.5" customHeight="1">
      <c r="A621" s="331"/>
      <c r="B621" s="331"/>
      <c r="C621" s="332"/>
      <c r="D621" s="331"/>
      <c r="E621" s="333"/>
      <c r="F621" s="271"/>
      <c r="G621" s="931"/>
      <c r="H621" s="931"/>
      <c r="I621" s="931"/>
      <c r="J621" s="931"/>
      <c r="K621" s="931"/>
      <c r="L621" s="931"/>
      <c r="M621" s="931"/>
      <c r="N621" s="931"/>
      <c r="O621" s="931"/>
      <c r="P621" s="931"/>
      <c r="Q621" s="931"/>
      <c r="R621" s="931"/>
    </row>
    <row r="622" spans="1:18" s="328" customFormat="1" ht="13.5" customHeight="1">
      <c r="A622" s="331"/>
      <c r="B622" s="331"/>
      <c r="C622" s="332"/>
      <c r="D622" s="331"/>
      <c r="E622" s="333"/>
      <c r="F622" s="271"/>
      <c r="G622" s="931"/>
      <c r="H622" s="931"/>
      <c r="I622" s="931"/>
      <c r="J622" s="931"/>
      <c r="K622" s="931"/>
      <c r="L622" s="931"/>
      <c r="M622" s="931"/>
      <c r="N622" s="931"/>
      <c r="O622" s="931"/>
      <c r="P622" s="931"/>
      <c r="Q622" s="931"/>
      <c r="R622" s="931"/>
    </row>
    <row r="623" spans="1:18" s="328" customFormat="1" ht="13.5" customHeight="1">
      <c r="A623" s="331"/>
      <c r="B623" s="331"/>
      <c r="C623" s="332"/>
      <c r="D623" s="331"/>
      <c r="E623" s="333"/>
      <c r="F623" s="271"/>
      <c r="G623" s="931"/>
      <c r="H623" s="931"/>
      <c r="I623" s="931"/>
      <c r="J623" s="931"/>
      <c r="K623" s="931"/>
      <c r="L623" s="931"/>
      <c r="M623" s="931"/>
      <c r="N623" s="931"/>
      <c r="O623" s="931"/>
      <c r="P623" s="931"/>
      <c r="Q623" s="931"/>
      <c r="R623" s="931"/>
    </row>
    <row r="624" spans="1:18" s="328" customFormat="1" ht="13.5" customHeight="1">
      <c r="A624" s="331"/>
      <c r="B624" s="331"/>
      <c r="C624" s="332"/>
      <c r="D624" s="331"/>
      <c r="E624" s="333"/>
      <c r="F624" s="271"/>
      <c r="G624" s="931"/>
      <c r="H624" s="931"/>
      <c r="I624" s="931"/>
      <c r="J624" s="931"/>
      <c r="K624" s="931"/>
      <c r="L624" s="931"/>
      <c r="M624" s="931"/>
      <c r="N624" s="931"/>
      <c r="O624" s="931"/>
      <c r="P624" s="931"/>
      <c r="Q624" s="931"/>
      <c r="R624" s="931"/>
    </row>
    <row r="625" spans="1:18" s="328" customFormat="1" ht="13.5" customHeight="1">
      <c r="A625" s="331"/>
      <c r="B625" s="331"/>
      <c r="C625" s="332"/>
      <c r="D625" s="331"/>
      <c r="E625" s="333"/>
      <c r="F625" s="271"/>
      <c r="G625" s="931"/>
      <c r="H625" s="931"/>
      <c r="I625" s="931"/>
      <c r="J625" s="931"/>
      <c r="K625" s="931"/>
      <c r="L625" s="931"/>
      <c r="M625" s="931"/>
      <c r="N625" s="931"/>
      <c r="O625" s="931"/>
      <c r="P625" s="931"/>
      <c r="Q625" s="931"/>
      <c r="R625" s="931"/>
    </row>
    <row r="626" spans="1:18" s="328" customFormat="1" ht="13.5" customHeight="1">
      <c r="A626" s="331"/>
      <c r="B626" s="331"/>
      <c r="C626" s="332"/>
      <c r="D626" s="331"/>
      <c r="E626" s="333"/>
      <c r="F626" s="271"/>
      <c r="G626" s="931"/>
      <c r="H626" s="931"/>
      <c r="I626" s="931"/>
      <c r="J626" s="931"/>
      <c r="K626" s="931"/>
      <c r="L626" s="931"/>
      <c r="M626" s="931"/>
      <c r="N626" s="931"/>
      <c r="O626" s="931"/>
      <c r="P626" s="931"/>
      <c r="Q626" s="931"/>
      <c r="R626" s="931"/>
    </row>
    <row r="627" spans="1:18" s="328" customFormat="1" ht="13.5" customHeight="1">
      <c r="A627" s="331"/>
      <c r="B627" s="331"/>
      <c r="C627" s="332"/>
      <c r="D627" s="331"/>
      <c r="E627" s="333"/>
      <c r="F627" s="271"/>
      <c r="G627" s="931"/>
      <c r="H627" s="931"/>
      <c r="I627" s="931"/>
      <c r="J627" s="931"/>
      <c r="K627" s="931"/>
      <c r="L627" s="931"/>
      <c r="M627" s="931"/>
      <c r="N627" s="931"/>
      <c r="O627" s="931"/>
      <c r="P627" s="931"/>
      <c r="Q627" s="931"/>
      <c r="R627" s="931"/>
    </row>
    <row r="628" spans="1:18" s="328" customFormat="1" ht="13.5" customHeight="1">
      <c r="A628" s="331"/>
      <c r="B628" s="331"/>
      <c r="C628" s="332"/>
      <c r="D628" s="331"/>
      <c r="E628" s="333"/>
      <c r="F628" s="271"/>
      <c r="G628" s="931"/>
      <c r="H628" s="931"/>
      <c r="I628" s="931"/>
      <c r="J628" s="931"/>
      <c r="K628" s="931"/>
      <c r="L628" s="931"/>
      <c r="M628" s="931"/>
      <c r="N628" s="931"/>
      <c r="O628" s="931"/>
      <c r="P628" s="931"/>
      <c r="Q628" s="931"/>
      <c r="R628" s="931"/>
    </row>
    <row r="629" spans="1:18" s="328" customFormat="1" ht="13.5" customHeight="1">
      <c r="A629" s="331"/>
      <c r="B629" s="331"/>
      <c r="C629" s="332"/>
      <c r="D629" s="331"/>
      <c r="E629" s="333"/>
      <c r="F629" s="271"/>
      <c r="G629" s="931"/>
      <c r="H629" s="931"/>
      <c r="I629" s="931"/>
      <c r="J629" s="931"/>
      <c r="K629" s="931"/>
      <c r="L629" s="931"/>
      <c r="M629" s="931"/>
      <c r="N629" s="931"/>
      <c r="O629" s="931"/>
      <c r="P629" s="931"/>
      <c r="Q629" s="931"/>
      <c r="R629" s="931"/>
    </row>
    <row r="630" spans="1:18" s="328" customFormat="1" ht="13.5" customHeight="1">
      <c r="A630" s="331"/>
      <c r="B630" s="331"/>
      <c r="C630" s="332"/>
      <c r="D630" s="331"/>
      <c r="E630" s="333"/>
      <c r="F630" s="271"/>
      <c r="G630" s="931"/>
      <c r="H630" s="931"/>
      <c r="I630" s="931"/>
      <c r="J630" s="931"/>
      <c r="K630" s="931"/>
      <c r="L630" s="931"/>
      <c r="M630" s="931"/>
      <c r="N630" s="931"/>
      <c r="O630" s="931"/>
      <c r="P630" s="931"/>
      <c r="Q630" s="931"/>
      <c r="R630" s="931"/>
    </row>
    <row r="631" spans="1:18" s="328" customFormat="1" ht="13.5" customHeight="1">
      <c r="A631" s="331"/>
      <c r="B631" s="331"/>
      <c r="C631" s="332"/>
      <c r="D631" s="331"/>
      <c r="E631" s="333"/>
      <c r="F631" s="271"/>
      <c r="G631" s="931"/>
      <c r="H631" s="931"/>
      <c r="I631" s="931"/>
      <c r="J631" s="931"/>
      <c r="K631" s="931"/>
      <c r="L631" s="931"/>
      <c r="M631" s="931"/>
      <c r="N631" s="931"/>
      <c r="O631" s="931"/>
      <c r="P631" s="931"/>
      <c r="Q631" s="931"/>
      <c r="R631" s="931"/>
    </row>
    <row r="632" spans="1:18" s="328" customFormat="1" ht="13.5" customHeight="1">
      <c r="A632" s="331"/>
      <c r="B632" s="331"/>
      <c r="C632" s="332"/>
      <c r="D632" s="331"/>
      <c r="E632" s="333"/>
      <c r="F632" s="271"/>
      <c r="G632" s="931"/>
      <c r="H632" s="931"/>
      <c r="I632" s="931"/>
      <c r="J632" s="931"/>
      <c r="K632" s="931"/>
      <c r="L632" s="931"/>
      <c r="M632" s="931"/>
      <c r="N632" s="931"/>
      <c r="O632" s="931"/>
      <c r="P632" s="931"/>
      <c r="Q632" s="931"/>
      <c r="R632" s="931"/>
    </row>
    <row r="633" spans="1:18" s="328" customFormat="1" ht="13.5" customHeight="1">
      <c r="A633" s="331"/>
      <c r="B633" s="331"/>
      <c r="C633" s="332"/>
      <c r="D633" s="331"/>
      <c r="E633" s="333"/>
      <c r="F633" s="271"/>
      <c r="G633" s="931"/>
      <c r="H633" s="931"/>
      <c r="I633" s="931"/>
      <c r="J633" s="931"/>
      <c r="K633" s="931"/>
      <c r="L633" s="931"/>
      <c r="M633" s="931"/>
      <c r="N633" s="931"/>
      <c r="O633" s="931"/>
      <c r="P633" s="931"/>
      <c r="Q633" s="931"/>
      <c r="R633" s="931"/>
    </row>
    <row r="634" spans="1:18" s="328" customFormat="1" ht="13.5" customHeight="1">
      <c r="A634" s="331"/>
      <c r="B634" s="331"/>
      <c r="C634" s="332"/>
      <c r="D634" s="331"/>
      <c r="E634" s="333"/>
      <c r="F634" s="271"/>
      <c r="G634" s="931"/>
      <c r="H634" s="931"/>
      <c r="I634" s="931"/>
      <c r="J634" s="931"/>
      <c r="K634" s="931"/>
      <c r="L634" s="931"/>
      <c r="M634" s="931"/>
      <c r="N634" s="931"/>
      <c r="O634" s="931"/>
      <c r="P634" s="931"/>
      <c r="Q634" s="931"/>
      <c r="R634" s="931"/>
    </row>
    <row r="635" spans="1:18" s="328" customFormat="1" ht="13.5" customHeight="1">
      <c r="A635" s="331"/>
      <c r="B635" s="331"/>
      <c r="C635" s="332"/>
      <c r="D635" s="331"/>
      <c r="E635" s="333"/>
      <c r="F635" s="271"/>
      <c r="G635" s="931"/>
      <c r="H635" s="931"/>
      <c r="I635" s="931"/>
      <c r="J635" s="931"/>
      <c r="K635" s="931"/>
      <c r="L635" s="931"/>
      <c r="M635" s="931"/>
      <c r="N635" s="931"/>
      <c r="O635" s="931"/>
      <c r="P635" s="931"/>
      <c r="Q635" s="931"/>
      <c r="R635" s="931"/>
    </row>
    <row r="636" spans="1:18" s="328" customFormat="1" ht="13.5" customHeight="1">
      <c r="A636" s="331"/>
      <c r="B636" s="331"/>
      <c r="C636" s="332"/>
      <c r="D636" s="331"/>
      <c r="E636" s="333"/>
      <c r="F636" s="271"/>
      <c r="G636" s="931"/>
      <c r="H636" s="931"/>
      <c r="I636" s="931"/>
      <c r="J636" s="931"/>
      <c r="K636" s="931"/>
      <c r="L636" s="931"/>
      <c r="M636" s="931"/>
      <c r="N636" s="931"/>
      <c r="O636" s="931"/>
      <c r="P636" s="931"/>
      <c r="Q636" s="931"/>
      <c r="R636" s="931"/>
    </row>
    <row r="637" spans="1:18" s="328" customFormat="1" ht="13.5" customHeight="1">
      <c r="A637" s="331"/>
      <c r="B637" s="331"/>
      <c r="C637" s="332"/>
      <c r="D637" s="331"/>
      <c r="E637" s="333"/>
      <c r="F637" s="271"/>
      <c r="G637" s="931"/>
      <c r="H637" s="931"/>
      <c r="I637" s="931"/>
      <c r="J637" s="931"/>
      <c r="K637" s="931"/>
      <c r="L637" s="931"/>
      <c r="M637" s="931"/>
      <c r="N637" s="931"/>
      <c r="O637" s="931"/>
      <c r="P637" s="931"/>
      <c r="Q637" s="931"/>
      <c r="R637" s="931"/>
    </row>
    <row r="638" spans="1:18" s="328" customFormat="1" ht="13.5" customHeight="1">
      <c r="A638" s="331"/>
      <c r="B638" s="331"/>
      <c r="C638" s="332"/>
      <c r="D638" s="331"/>
      <c r="E638" s="333"/>
      <c r="F638" s="271"/>
      <c r="G638" s="931"/>
      <c r="H638" s="931"/>
      <c r="I638" s="931"/>
      <c r="J638" s="931"/>
      <c r="K638" s="931"/>
      <c r="L638" s="931"/>
      <c r="M638" s="931"/>
      <c r="N638" s="931"/>
      <c r="O638" s="931"/>
      <c r="P638" s="931"/>
      <c r="Q638" s="931"/>
      <c r="R638" s="931"/>
    </row>
    <row r="639" spans="1:18" s="328" customFormat="1" ht="13.5" customHeight="1">
      <c r="A639" s="331"/>
      <c r="B639" s="331"/>
      <c r="C639" s="332"/>
      <c r="D639" s="331"/>
      <c r="E639" s="333"/>
      <c r="F639" s="271"/>
      <c r="G639" s="931"/>
      <c r="H639" s="931"/>
      <c r="I639" s="931"/>
      <c r="J639" s="931"/>
      <c r="K639" s="931"/>
      <c r="L639" s="931"/>
      <c r="M639" s="931"/>
      <c r="N639" s="931"/>
      <c r="O639" s="931"/>
      <c r="P639" s="931"/>
      <c r="Q639" s="931"/>
      <c r="R639" s="931"/>
    </row>
    <row r="640" spans="1:18" s="328" customFormat="1" ht="13.5" customHeight="1">
      <c r="A640" s="331"/>
      <c r="B640" s="331"/>
      <c r="C640" s="332"/>
      <c r="D640" s="331"/>
      <c r="E640" s="333"/>
      <c r="F640" s="271"/>
      <c r="G640" s="931"/>
      <c r="H640" s="931"/>
      <c r="I640" s="931"/>
      <c r="J640" s="931"/>
      <c r="K640" s="931"/>
      <c r="L640" s="931"/>
      <c r="M640" s="931"/>
      <c r="N640" s="931"/>
      <c r="O640" s="931"/>
      <c r="P640" s="931"/>
      <c r="Q640" s="931"/>
      <c r="R640" s="931"/>
    </row>
    <row r="641" spans="1:18" s="328" customFormat="1" ht="13.5" customHeight="1">
      <c r="A641" s="331"/>
      <c r="B641" s="331"/>
      <c r="C641" s="332"/>
      <c r="D641" s="331"/>
      <c r="E641" s="333"/>
      <c r="F641" s="271"/>
      <c r="G641" s="931"/>
      <c r="H641" s="931"/>
      <c r="I641" s="931"/>
      <c r="J641" s="931"/>
      <c r="K641" s="931"/>
      <c r="L641" s="931"/>
      <c r="M641" s="931"/>
      <c r="N641" s="931"/>
      <c r="O641" s="931"/>
      <c r="P641" s="931"/>
      <c r="Q641" s="931"/>
      <c r="R641" s="931"/>
    </row>
    <row r="642" spans="1:18" s="328" customFormat="1" ht="13.5" customHeight="1">
      <c r="A642" s="331"/>
      <c r="B642" s="331"/>
      <c r="C642" s="332"/>
      <c r="D642" s="331"/>
      <c r="E642" s="333"/>
      <c r="F642" s="271"/>
      <c r="G642" s="931"/>
      <c r="H642" s="931"/>
      <c r="I642" s="931"/>
      <c r="J642" s="931"/>
      <c r="K642" s="931"/>
      <c r="L642" s="931"/>
      <c r="M642" s="931"/>
      <c r="N642" s="931"/>
      <c r="O642" s="931"/>
      <c r="P642" s="931"/>
      <c r="Q642" s="931"/>
      <c r="R642" s="931"/>
    </row>
    <row r="643" spans="1:18" s="328" customFormat="1" ht="13.5" customHeight="1">
      <c r="A643" s="331"/>
      <c r="B643" s="331"/>
      <c r="C643" s="332"/>
      <c r="D643" s="331"/>
      <c r="E643" s="333"/>
      <c r="F643" s="271"/>
      <c r="G643" s="931"/>
      <c r="H643" s="931"/>
      <c r="I643" s="931"/>
      <c r="J643" s="931"/>
      <c r="K643" s="931"/>
      <c r="L643" s="931"/>
      <c r="M643" s="931"/>
      <c r="N643" s="931"/>
      <c r="O643" s="931"/>
      <c r="P643" s="931"/>
      <c r="Q643" s="931"/>
      <c r="R643" s="931"/>
    </row>
    <row r="644" spans="1:18" s="328" customFormat="1" ht="13.5" customHeight="1">
      <c r="A644" s="331"/>
      <c r="B644" s="331"/>
      <c r="C644" s="332"/>
      <c r="D644" s="331"/>
      <c r="E644" s="333"/>
      <c r="F644" s="271"/>
      <c r="G644" s="931"/>
      <c r="H644" s="931"/>
      <c r="I644" s="931"/>
      <c r="J644" s="931"/>
      <c r="K644" s="931"/>
      <c r="L644" s="931"/>
      <c r="M644" s="931"/>
      <c r="N644" s="931"/>
      <c r="O644" s="931"/>
      <c r="P644" s="931"/>
      <c r="Q644" s="931"/>
      <c r="R644" s="931"/>
    </row>
    <row r="645" spans="1:18" s="328" customFormat="1" ht="13.5" customHeight="1">
      <c r="A645" s="331"/>
      <c r="B645" s="331"/>
      <c r="C645" s="332"/>
      <c r="D645" s="331"/>
      <c r="E645" s="333"/>
      <c r="F645" s="271"/>
      <c r="G645" s="931"/>
      <c r="H645" s="931"/>
      <c r="I645" s="931"/>
      <c r="J645" s="931"/>
      <c r="K645" s="931"/>
      <c r="L645" s="931"/>
      <c r="M645" s="931"/>
      <c r="N645" s="931"/>
      <c r="O645" s="931"/>
      <c r="P645" s="931"/>
      <c r="Q645" s="931"/>
      <c r="R645" s="931"/>
    </row>
    <row r="646" spans="1:18" s="328" customFormat="1" ht="13.5" customHeight="1">
      <c r="A646" s="331"/>
      <c r="B646" s="331"/>
      <c r="C646" s="332"/>
      <c r="D646" s="331"/>
      <c r="E646" s="333"/>
      <c r="F646" s="271"/>
      <c r="G646" s="931"/>
      <c r="H646" s="931"/>
      <c r="I646" s="931"/>
      <c r="J646" s="931"/>
      <c r="K646" s="931"/>
      <c r="L646" s="931"/>
      <c r="M646" s="931"/>
      <c r="N646" s="931"/>
      <c r="O646" s="931"/>
      <c r="P646" s="931"/>
      <c r="Q646" s="931"/>
      <c r="R646" s="931"/>
    </row>
    <row r="647" spans="1:18" s="328" customFormat="1" ht="13.5" customHeight="1">
      <c r="A647" s="331"/>
      <c r="B647" s="331"/>
      <c r="C647" s="332"/>
      <c r="D647" s="331"/>
      <c r="E647" s="333"/>
      <c r="F647" s="271"/>
      <c r="G647" s="931"/>
      <c r="H647" s="931"/>
      <c r="I647" s="931"/>
      <c r="J647" s="931"/>
      <c r="K647" s="931"/>
      <c r="L647" s="931"/>
      <c r="M647" s="931"/>
      <c r="N647" s="931"/>
      <c r="O647" s="931"/>
      <c r="P647" s="931"/>
      <c r="Q647" s="931"/>
      <c r="R647" s="931"/>
    </row>
    <row r="648" spans="1:18" s="328" customFormat="1" ht="13.5" customHeight="1">
      <c r="A648" s="331"/>
      <c r="B648" s="331"/>
      <c r="C648" s="332"/>
      <c r="D648" s="331"/>
      <c r="E648" s="333"/>
      <c r="F648" s="271"/>
      <c r="G648" s="931"/>
      <c r="H648" s="931"/>
      <c r="I648" s="931"/>
      <c r="J648" s="931"/>
      <c r="K648" s="931"/>
      <c r="L648" s="931"/>
      <c r="M648" s="931"/>
      <c r="N648" s="931"/>
      <c r="O648" s="931"/>
      <c r="P648" s="931"/>
      <c r="Q648" s="931"/>
      <c r="R648" s="931"/>
    </row>
    <row r="649" spans="1:18" s="328" customFormat="1" ht="13.5" customHeight="1">
      <c r="A649" s="331"/>
      <c r="B649" s="331"/>
      <c r="C649" s="332"/>
      <c r="D649" s="331"/>
      <c r="E649" s="333"/>
      <c r="F649" s="271"/>
      <c r="G649" s="931"/>
      <c r="H649" s="931"/>
      <c r="I649" s="931"/>
      <c r="J649" s="931"/>
      <c r="K649" s="931"/>
      <c r="L649" s="931"/>
      <c r="M649" s="931"/>
      <c r="N649" s="931"/>
      <c r="O649" s="931"/>
      <c r="P649" s="931"/>
      <c r="Q649" s="931"/>
      <c r="R649" s="931"/>
    </row>
    <row r="650" spans="1:18" s="328" customFormat="1" ht="13.5" customHeight="1">
      <c r="A650" s="331"/>
      <c r="B650" s="331"/>
      <c r="C650" s="332"/>
      <c r="D650" s="331"/>
      <c r="E650" s="333"/>
      <c r="F650" s="271"/>
      <c r="G650" s="931"/>
      <c r="H650" s="931"/>
      <c r="I650" s="931"/>
      <c r="J650" s="931"/>
      <c r="K650" s="931"/>
      <c r="L650" s="931"/>
      <c r="M650" s="931"/>
      <c r="N650" s="931"/>
      <c r="O650" s="931"/>
      <c r="P650" s="931"/>
      <c r="Q650" s="931"/>
      <c r="R650" s="931"/>
    </row>
    <row r="651" spans="1:18" s="328" customFormat="1" ht="13.5" customHeight="1">
      <c r="A651" s="331"/>
      <c r="B651" s="331"/>
      <c r="C651" s="332"/>
      <c r="D651" s="331"/>
      <c r="E651" s="333"/>
      <c r="F651" s="271"/>
      <c r="G651" s="931"/>
      <c r="H651" s="931"/>
      <c r="I651" s="931"/>
      <c r="J651" s="931"/>
      <c r="K651" s="931"/>
      <c r="L651" s="931"/>
      <c r="M651" s="931"/>
      <c r="N651" s="931"/>
      <c r="O651" s="931"/>
      <c r="P651" s="931"/>
      <c r="Q651" s="931"/>
      <c r="R651" s="931"/>
    </row>
    <row r="652" spans="1:18" s="328" customFormat="1" ht="13.5" customHeight="1">
      <c r="A652" s="331"/>
      <c r="B652" s="331"/>
      <c r="C652" s="332"/>
      <c r="D652" s="331"/>
      <c r="E652" s="333"/>
      <c r="F652" s="271"/>
      <c r="G652" s="931"/>
      <c r="H652" s="931"/>
      <c r="I652" s="931"/>
      <c r="J652" s="931"/>
      <c r="K652" s="931"/>
      <c r="L652" s="931"/>
      <c r="M652" s="931"/>
      <c r="N652" s="931"/>
      <c r="O652" s="931"/>
      <c r="P652" s="931"/>
      <c r="Q652" s="931"/>
      <c r="R652" s="931"/>
    </row>
    <row r="653" spans="1:18" s="328" customFormat="1" ht="13.5" customHeight="1">
      <c r="A653" s="331"/>
      <c r="B653" s="331"/>
      <c r="C653" s="332"/>
      <c r="D653" s="331"/>
      <c r="E653" s="333"/>
      <c r="F653" s="271"/>
      <c r="G653" s="931"/>
      <c r="H653" s="931"/>
      <c r="I653" s="931"/>
      <c r="J653" s="931"/>
      <c r="K653" s="931"/>
      <c r="L653" s="931"/>
      <c r="M653" s="931"/>
      <c r="N653" s="931"/>
      <c r="O653" s="931"/>
      <c r="P653" s="931"/>
      <c r="Q653" s="931"/>
      <c r="R653" s="931"/>
    </row>
    <row r="654" spans="1:18" s="328" customFormat="1" ht="13.5" customHeight="1">
      <c r="A654" s="331"/>
      <c r="B654" s="331"/>
      <c r="C654" s="332"/>
      <c r="D654" s="331"/>
      <c r="E654" s="333"/>
      <c r="F654" s="271"/>
      <c r="G654" s="931"/>
      <c r="H654" s="931"/>
      <c r="I654" s="931"/>
      <c r="J654" s="931"/>
      <c r="K654" s="931"/>
      <c r="L654" s="931"/>
      <c r="M654" s="931"/>
      <c r="N654" s="931"/>
      <c r="O654" s="931"/>
      <c r="P654" s="931"/>
      <c r="Q654" s="931"/>
      <c r="R654" s="931"/>
    </row>
    <row r="655" spans="1:18" s="328" customFormat="1" ht="13.5" customHeight="1">
      <c r="A655" s="331"/>
      <c r="B655" s="331"/>
      <c r="C655" s="332"/>
      <c r="D655" s="331"/>
      <c r="E655" s="333"/>
      <c r="F655" s="271"/>
      <c r="G655" s="931"/>
      <c r="H655" s="931"/>
      <c r="I655" s="931"/>
      <c r="J655" s="931"/>
      <c r="K655" s="931"/>
      <c r="L655" s="931"/>
      <c r="M655" s="931"/>
      <c r="N655" s="931"/>
      <c r="O655" s="931"/>
      <c r="P655" s="931"/>
      <c r="Q655" s="931"/>
      <c r="R655" s="931"/>
    </row>
    <row r="656" spans="1:18" s="328" customFormat="1" ht="13.5" customHeight="1">
      <c r="A656" s="331"/>
      <c r="B656" s="331"/>
      <c r="C656" s="332"/>
      <c r="D656" s="331"/>
      <c r="E656" s="333"/>
      <c r="F656" s="271"/>
      <c r="G656" s="931"/>
      <c r="H656" s="931"/>
      <c r="I656" s="931"/>
      <c r="J656" s="931"/>
      <c r="K656" s="931"/>
      <c r="L656" s="931"/>
      <c r="M656" s="931"/>
      <c r="N656" s="931"/>
      <c r="O656" s="931"/>
      <c r="P656" s="931"/>
      <c r="Q656" s="931"/>
      <c r="R656" s="931"/>
    </row>
    <row r="657" spans="1:18" s="328" customFormat="1" ht="13.5" customHeight="1">
      <c r="A657" s="331"/>
      <c r="B657" s="331"/>
      <c r="C657" s="332"/>
      <c r="D657" s="331"/>
      <c r="E657" s="333"/>
      <c r="F657" s="271"/>
      <c r="G657" s="931"/>
      <c r="H657" s="931"/>
      <c r="I657" s="931"/>
      <c r="J657" s="931"/>
      <c r="K657" s="931"/>
      <c r="L657" s="931"/>
      <c r="M657" s="931"/>
      <c r="N657" s="931"/>
      <c r="O657" s="931"/>
      <c r="P657" s="931"/>
      <c r="Q657" s="931"/>
      <c r="R657" s="931"/>
    </row>
    <row r="658" spans="1:18" s="328" customFormat="1" ht="13.5" customHeight="1">
      <c r="A658" s="331"/>
      <c r="B658" s="331"/>
      <c r="C658" s="332"/>
      <c r="D658" s="331"/>
      <c r="E658" s="333"/>
      <c r="F658" s="271"/>
      <c r="G658" s="931"/>
      <c r="H658" s="931"/>
      <c r="I658" s="931"/>
      <c r="J658" s="931"/>
      <c r="K658" s="931"/>
      <c r="L658" s="931"/>
      <c r="M658" s="931"/>
      <c r="N658" s="931"/>
      <c r="O658" s="931"/>
      <c r="P658" s="931"/>
      <c r="Q658" s="931"/>
      <c r="R658" s="931"/>
    </row>
    <row r="659" spans="1:18" s="328" customFormat="1" ht="13.5" customHeight="1">
      <c r="A659" s="331"/>
      <c r="B659" s="331"/>
      <c r="C659" s="332"/>
      <c r="D659" s="331"/>
      <c r="E659" s="333"/>
      <c r="F659" s="271"/>
      <c r="G659" s="931"/>
      <c r="H659" s="931"/>
      <c r="I659" s="931"/>
      <c r="J659" s="931"/>
      <c r="K659" s="931"/>
      <c r="L659" s="931"/>
      <c r="M659" s="931"/>
      <c r="N659" s="931"/>
      <c r="O659" s="931"/>
      <c r="P659" s="931"/>
      <c r="Q659" s="931"/>
      <c r="R659" s="931"/>
    </row>
    <row r="660" spans="1:18" s="328" customFormat="1" ht="13.5" customHeight="1">
      <c r="A660" s="331"/>
      <c r="B660" s="331"/>
      <c r="C660" s="332"/>
      <c r="D660" s="331"/>
      <c r="E660" s="333"/>
      <c r="F660" s="271"/>
      <c r="G660" s="931"/>
      <c r="H660" s="931"/>
      <c r="I660" s="931"/>
      <c r="J660" s="931"/>
      <c r="K660" s="931"/>
      <c r="L660" s="931"/>
      <c r="M660" s="931"/>
      <c r="N660" s="931"/>
      <c r="O660" s="931"/>
      <c r="P660" s="931"/>
      <c r="Q660" s="931"/>
      <c r="R660" s="931"/>
    </row>
    <row r="661" spans="1:18" s="328" customFormat="1" ht="13.5" customHeight="1">
      <c r="A661" s="331"/>
      <c r="B661" s="331"/>
      <c r="C661" s="332"/>
      <c r="D661" s="331"/>
      <c r="E661" s="333"/>
      <c r="F661" s="271"/>
      <c r="G661" s="931"/>
      <c r="H661" s="931"/>
      <c r="I661" s="931"/>
      <c r="J661" s="931"/>
      <c r="K661" s="931"/>
      <c r="L661" s="931"/>
      <c r="M661" s="931"/>
      <c r="N661" s="931"/>
      <c r="O661" s="931"/>
      <c r="P661" s="931"/>
      <c r="Q661" s="931"/>
      <c r="R661" s="931"/>
    </row>
    <row r="662" spans="1:18" s="328" customFormat="1" ht="13.5" customHeight="1">
      <c r="A662" s="331"/>
      <c r="B662" s="331"/>
      <c r="C662" s="332"/>
      <c r="D662" s="331"/>
      <c r="E662" s="333"/>
      <c r="F662" s="271"/>
      <c r="G662" s="931"/>
      <c r="H662" s="931"/>
      <c r="I662" s="931"/>
      <c r="J662" s="931"/>
      <c r="K662" s="931"/>
      <c r="L662" s="931"/>
      <c r="M662" s="931"/>
      <c r="N662" s="931"/>
      <c r="O662" s="931"/>
      <c r="P662" s="931"/>
      <c r="Q662" s="931"/>
      <c r="R662" s="931"/>
    </row>
    <row r="663" spans="1:18" s="328" customFormat="1" ht="13.5" customHeight="1">
      <c r="A663" s="331"/>
      <c r="B663" s="331"/>
      <c r="C663" s="332"/>
      <c r="D663" s="331"/>
      <c r="E663" s="333"/>
      <c r="F663" s="271"/>
      <c r="G663" s="931"/>
      <c r="H663" s="931"/>
      <c r="I663" s="931"/>
      <c r="J663" s="931"/>
      <c r="K663" s="931"/>
      <c r="L663" s="931"/>
      <c r="M663" s="931"/>
      <c r="N663" s="931"/>
      <c r="O663" s="931"/>
      <c r="P663" s="931"/>
      <c r="Q663" s="931"/>
      <c r="R663" s="931"/>
    </row>
    <row r="664" spans="1:18" s="328" customFormat="1" ht="13.5" customHeight="1">
      <c r="A664" s="331"/>
      <c r="B664" s="331"/>
      <c r="C664" s="332"/>
      <c r="D664" s="331"/>
      <c r="E664" s="333"/>
      <c r="F664" s="271"/>
      <c r="G664" s="931"/>
      <c r="H664" s="931"/>
      <c r="I664" s="931"/>
      <c r="J664" s="931"/>
      <c r="K664" s="931"/>
      <c r="L664" s="931"/>
      <c r="M664" s="931"/>
      <c r="N664" s="931"/>
      <c r="O664" s="931"/>
      <c r="P664" s="931"/>
      <c r="Q664" s="931"/>
      <c r="R664" s="931"/>
    </row>
    <row r="665" spans="1:18" s="328" customFormat="1" ht="13.5" customHeight="1">
      <c r="A665" s="331"/>
      <c r="B665" s="331"/>
      <c r="C665" s="332"/>
      <c r="D665" s="331"/>
      <c r="E665" s="333"/>
      <c r="F665" s="271"/>
      <c r="G665" s="931"/>
      <c r="H665" s="931"/>
      <c r="I665" s="931"/>
      <c r="J665" s="931"/>
      <c r="K665" s="931"/>
      <c r="L665" s="931"/>
      <c r="M665" s="931"/>
      <c r="N665" s="931"/>
      <c r="O665" s="931"/>
      <c r="P665" s="931"/>
      <c r="Q665" s="931"/>
      <c r="R665" s="931"/>
    </row>
    <row r="666" spans="1:18" s="328" customFormat="1" ht="13.5" customHeight="1">
      <c r="A666" s="331"/>
      <c r="B666" s="331"/>
      <c r="C666" s="332"/>
      <c r="D666" s="331"/>
      <c r="E666" s="333"/>
      <c r="F666" s="271"/>
      <c r="G666" s="931"/>
      <c r="H666" s="931"/>
      <c r="I666" s="931"/>
      <c r="J666" s="931"/>
      <c r="K666" s="931"/>
      <c r="L666" s="931"/>
      <c r="M666" s="931"/>
      <c r="N666" s="931"/>
      <c r="O666" s="931"/>
      <c r="P666" s="931"/>
      <c r="Q666" s="931"/>
      <c r="R666" s="931"/>
    </row>
    <row r="667" spans="1:18" s="328" customFormat="1" ht="13.5" customHeight="1">
      <c r="A667" s="331"/>
      <c r="B667" s="331"/>
      <c r="C667" s="332"/>
      <c r="D667" s="331"/>
      <c r="E667" s="333"/>
      <c r="F667" s="271"/>
      <c r="G667" s="931"/>
      <c r="H667" s="931"/>
      <c r="I667" s="931"/>
      <c r="J667" s="931"/>
      <c r="K667" s="931"/>
      <c r="L667" s="931"/>
      <c r="M667" s="931"/>
      <c r="N667" s="931"/>
      <c r="O667" s="931"/>
      <c r="P667" s="931"/>
      <c r="Q667" s="931"/>
      <c r="R667" s="931"/>
    </row>
    <row r="668" spans="1:18" s="328" customFormat="1" ht="13.5" customHeight="1">
      <c r="A668" s="331"/>
      <c r="B668" s="331"/>
      <c r="C668" s="332"/>
      <c r="D668" s="331"/>
      <c r="E668" s="333"/>
      <c r="F668" s="271"/>
      <c r="G668" s="931"/>
      <c r="H668" s="931"/>
      <c r="I668" s="931"/>
      <c r="J668" s="931"/>
      <c r="K668" s="931"/>
      <c r="L668" s="931"/>
      <c r="M668" s="931"/>
      <c r="N668" s="931"/>
      <c r="O668" s="931"/>
      <c r="P668" s="931"/>
      <c r="Q668" s="931"/>
      <c r="R668" s="931"/>
    </row>
    <row r="669" spans="1:18" s="328" customFormat="1" ht="13.5" customHeight="1">
      <c r="A669" s="331"/>
      <c r="B669" s="331"/>
      <c r="C669" s="332"/>
      <c r="D669" s="331"/>
      <c r="E669" s="333"/>
      <c r="F669" s="271"/>
      <c r="G669" s="931"/>
      <c r="H669" s="931"/>
      <c r="I669" s="931"/>
      <c r="J669" s="931"/>
      <c r="K669" s="931"/>
      <c r="L669" s="931"/>
      <c r="M669" s="931"/>
      <c r="N669" s="931"/>
      <c r="O669" s="931"/>
      <c r="P669" s="931"/>
      <c r="Q669" s="931"/>
      <c r="R669" s="931"/>
    </row>
    <row r="670" spans="1:18" s="328" customFormat="1" ht="13.5" customHeight="1">
      <c r="A670" s="331"/>
      <c r="B670" s="331"/>
      <c r="C670" s="332"/>
      <c r="D670" s="331"/>
      <c r="E670" s="333"/>
      <c r="F670" s="271"/>
      <c r="G670" s="931"/>
      <c r="H670" s="931"/>
      <c r="I670" s="931"/>
      <c r="J670" s="931"/>
      <c r="K670" s="931"/>
      <c r="L670" s="931"/>
      <c r="M670" s="931"/>
      <c r="N670" s="931"/>
      <c r="O670" s="931"/>
      <c r="P670" s="931"/>
      <c r="Q670" s="931"/>
      <c r="R670" s="931"/>
    </row>
    <row r="671" spans="1:18" s="328" customFormat="1" ht="13.5" customHeight="1">
      <c r="A671" s="331"/>
      <c r="B671" s="331"/>
      <c r="C671" s="332"/>
      <c r="D671" s="331"/>
      <c r="E671" s="333"/>
      <c r="F671" s="271"/>
      <c r="G671" s="931"/>
      <c r="H671" s="931"/>
      <c r="I671" s="931"/>
      <c r="J671" s="931"/>
      <c r="K671" s="931"/>
      <c r="L671" s="931"/>
      <c r="M671" s="931"/>
      <c r="N671" s="931"/>
      <c r="O671" s="931"/>
      <c r="P671" s="931"/>
      <c r="Q671" s="931"/>
      <c r="R671" s="931"/>
    </row>
    <row r="672" spans="1:18" s="328" customFormat="1" ht="13.5" customHeight="1">
      <c r="A672" s="331"/>
      <c r="B672" s="331"/>
      <c r="C672" s="332"/>
      <c r="D672" s="331"/>
      <c r="E672" s="333"/>
      <c r="F672" s="271"/>
      <c r="G672" s="931"/>
      <c r="H672" s="931"/>
      <c r="I672" s="931"/>
      <c r="J672" s="931"/>
      <c r="K672" s="931"/>
      <c r="L672" s="931"/>
      <c r="M672" s="931"/>
      <c r="N672" s="931"/>
      <c r="O672" s="931"/>
      <c r="P672" s="931"/>
      <c r="Q672" s="931"/>
      <c r="R672" s="931"/>
    </row>
    <row r="673" spans="1:18" s="328" customFormat="1" ht="13.5" customHeight="1">
      <c r="A673" s="331"/>
      <c r="B673" s="331"/>
      <c r="C673" s="332"/>
      <c r="D673" s="331"/>
      <c r="E673" s="333"/>
      <c r="F673" s="271"/>
      <c r="G673" s="931"/>
      <c r="H673" s="931"/>
      <c r="I673" s="931"/>
      <c r="J673" s="931"/>
      <c r="K673" s="931"/>
      <c r="L673" s="931"/>
      <c r="M673" s="931"/>
      <c r="N673" s="931"/>
      <c r="O673" s="931"/>
      <c r="P673" s="931"/>
      <c r="Q673" s="931"/>
      <c r="R673" s="931"/>
    </row>
    <row r="674" spans="1:18" s="328" customFormat="1" ht="13.5" customHeight="1">
      <c r="A674" s="331"/>
      <c r="B674" s="331"/>
      <c r="C674" s="332"/>
      <c r="D674" s="331"/>
      <c r="E674" s="333"/>
      <c r="F674" s="271"/>
      <c r="G674" s="931"/>
      <c r="H674" s="931"/>
      <c r="I674" s="931"/>
      <c r="J674" s="931"/>
      <c r="K674" s="931"/>
      <c r="L674" s="931"/>
      <c r="M674" s="931"/>
      <c r="N674" s="931"/>
      <c r="O674" s="931"/>
      <c r="P674" s="931"/>
      <c r="Q674" s="931"/>
      <c r="R674" s="931"/>
    </row>
    <row r="675" spans="1:18" s="328" customFormat="1" ht="13.5" customHeight="1">
      <c r="A675" s="331"/>
      <c r="B675" s="331"/>
      <c r="C675" s="332"/>
      <c r="D675" s="331"/>
      <c r="E675" s="333"/>
      <c r="F675" s="271"/>
      <c r="G675" s="931"/>
      <c r="H675" s="931"/>
      <c r="I675" s="931"/>
      <c r="J675" s="931"/>
      <c r="K675" s="931"/>
      <c r="L675" s="931"/>
      <c r="M675" s="931"/>
      <c r="N675" s="931"/>
      <c r="O675" s="931"/>
      <c r="P675" s="931"/>
      <c r="Q675" s="931"/>
      <c r="R675" s="931"/>
    </row>
    <row r="676" spans="1:18" s="328" customFormat="1" ht="13.5" customHeight="1">
      <c r="A676" s="331"/>
      <c r="B676" s="331"/>
      <c r="C676" s="332"/>
      <c r="D676" s="331"/>
      <c r="E676" s="333"/>
      <c r="F676" s="271"/>
      <c r="G676" s="931"/>
      <c r="H676" s="931"/>
      <c r="I676" s="931"/>
      <c r="J676" s="931"/>
      <c r="K676" s="931"/>
      <c r="L676" s="931"/>
      <c r="M676" s="931"/>
      <c r="N676" s="931"/>
      <c r="O676" s="931"/>
      <c r="P676" s="931"/>
      <c r="Q676" s="931"/>
      <c r="R676" s="931"/>
    </row>
    <row r="677" spans="1:18" s="328" customFormat="1" ht="13.5" customHeight="1">
      <c r="A677" s="331"/>
      <c r="B677" s="331"/>
      <c r="C677" s="332"/>
      <c r="D677" s="331"/>
      <c r="E677" s="333"/>
      <c r="F677" s="271"/>
      <c r="G677" s="931"/>
      <c r="H677" s="931"/>
      <c r="I677" s="931"/>
      <c r="J677" s="931"/>
      <c r="K677" s="931"/>
      <c r="L677" s="931"/>
      <c r="M677" s="931"/>
      <c r="N677" s="931"/>
      <c r="O677" s="931"/>
      <c r="P677" s="931"/>
      <c r="Q677" s="931"/>
      <c r="R677" s="931"/>
    </row>
    <row r="678" spans="1:18" s="328" customFormat="1" ht="13.5" customHeight="1">
      <c r="A678" s="331"/>
      <c r="B678" s="331"/>
      <c r="C678" s="332"/>
      <c r="D678" s="331"/>
      <c r="E678" s="333"/>
      <c r="F678" s="271"/>
      <c r="G678" s="931"/>
      <c r="H678" s="931"/>
      <c r="I678" s="931"/>
      <c r="J678" s="931"/>
      <c r="K678" s="931"/>
      <c r="L678" s="931"/>
      <c r="M678" s="931"/>
      <c r="N678" s="931"/>
      <c r="O678" s="931"/>
      <c r="P678" s="931"/>
      <c r="Q678" s="931"/>
      <c r="R678" s="931"/>
    </row>
    <row r="679" spans="1:18" s="328" customFormat="1" ht="13.5" customHeight="1">
      <c r="A679" s="331"/>
      <c r="B679" s="331"/>
      <c r="C679" s="332"/>
      <c r="D679" s="331"/>
      <c r="E679" s="333"/>
      <c r="F679" s="271"/>
      <c r="G679" s="931"/>
      <c r="H679" s="931"/>
      <c r="I679" s="931"/>
      <c r="J679" s="931"/>
      <c r="K679" s="931"/>
      <c r="L679" s="931"/>
      <c r="M679" s="931"/>
      <c r="N679" s="931"/>
      <c r="O679" s="931"/>
      <c r="P679" s="931"/>
      <c r="Q679" s="931"/>
      <c r="R679" s="931"/>
    </row>
    <row r="680" spans="1:18" s="328" customFormat="1" ht="13.5" customHeight="1">
      <c r="A680" s="331"/>
      <c r="B680" s="331"/>
      <c r="C680" s="332"/>
      <c r="D680" s="331"/>
      <c r="E680" s="333"/>
      <c r="F680" s="271"/>
      <c r="G680" s="931"/>
      <c r="H680" s="931"/>
      <c r="I680" s="931"/>
      <c r="J680" s="931"/>
      <c r="K680" s="931"/>
      <c r="L680" s="931"/>
      <c r="M680" s="931"/>
      <c r="N680" s="931"/>
      <c r="O680" s="931"/>
      <c r="P680" s="931"/>
      <c r="Q680" s="931"/>
      <c r="R680" s="931"/>
    </row>
    <row r="681" spans="1:18" s="328" customFormat="1" ht="13.5" customHeight="1">
      <c r="A681" s="331"/>
      <c r="B681" s="331"/>
      <c r="C681" s="332"/>
      <c r="D681" s="331"/>
      <c r="E681" s="333"/>
      <c r="F681" s="271"/>
      <c r="G681" s="931"/>
      <c r="H681" s="931"/>
      <c r="I681" s="931"/>
      <c r="J681" s="931"/>
      <c r="K681" s="931"/>
      <c r="L681" s="931"/>
      <c r="M681" s="931"/>
      <c r="N681" s="931"/>
      <c r="O681" s="931"/>
      <c r="P681" s="931"/>
      <c r="Q681" s="931"/>
      <c r="R681" s="931"/>
    </row>
    <row r="682" spans="1:18" s="328" customFormat="1" ht="13.5" customHeight="1">
      <c r="A682" s="331"/>
      <c r="B682" s="331"/>
      <c r="C682" s="332"/>
      <c r="D682" s="331"/>
      <c r="E682" s="333"/>
      <c r="F682" s="271"/>
      <c r="G682" s="931"/>
      <c r="H682" s="931"/>
      <c r="I682" s="931"/>
      <c r="J682" s="931"/>
      <c r="K682" s="931"/>
      <c r="L682" s="931"/>
      <c r="M682" s="931"/>
      <c r="N682" s="931"/>
      <c r="O682" s="931"/>
      <c r="P682" s="931"/>
      <c r="Q682" s="931"/>
      <c r="R682" s="931"/>
    </row>
    <row r="683" spans="1:18" s="328" customFormat="1" ht="13.5" customHeight="1">
      <c r="A683" s="331"/>
      <c r="B683" s="331"/>
      <c r="C683" s="332"/>
      <c r="D683" s="331"/>
      <c r="E683" s="333"/>
      <c r="F683" s="271"/>
      <c r="G683" s="931"/>
      <c r="H683" s="931"/>
      <c r="I683" s="931"/>
      <c r="J683" s="931"/>
      <c r="K683" s="931"/>
      <c r="L683" s="931"/>
      <c r="M683" s="931"/>
      <c r="N683" s="931"/>
      <c r="O683" s="931"/>
      <c r="P683" s="931"/>
      <c r="Q683" s="931"/>
      <c r="R683" s="931"/>
    </row>
    <row r="684" spans="1:18" s="328" customFormat="1" ht="13.5" customHeight="1">
      <c r="A684" s="331"/>
      <c r="B684" s="331"/>
      <c r="C684" s="332"/>
      <c r="D684" s="331"/>
      <c r="E684" s="333"/>
      <c r="F684" s="271"/>
      <c r="G684" s="931"/>
      <c r="H684" s="931"/>
      <c r="I684" s="931"/>
      <c r="J684" s="931"/>
      <c r="K684" s="931"/>
      <c r="L684" s="931"/>
      <c r="M684" s="931"/>
      <c r="N684" s="931"/>
      <c r="O684" s="931"/>
      <c r="P684" s="931"/>
      <c r="Q684" s="931"/>
      <c r="R684" s="931"/>
    </row>
    <row r="685" spans="1:18" s="328" customFormat="1" ht="13.5" customHeight="1">
      <c r="A685" s="331"/>
      <c r="B685" s="331"/>
      <c r="C685" s="332"/>
      <c r="D685" s="331"/>
      <c r="E685" s="333"/>
      <c r="F685" s="271"/>
      <c r="G685" s="931"/>
      <c r="H685" s="931"/>
      <c r="I685" s="931"/>
      <c r="J685" s="931"/>
      <c r="K685" s="931"/>
      <c r="L685" s="931"/>
      <c r="M685" s="931"/>
      <c r="N685" s="931"/>
      <c r="O685" s="931"/>
      <c r="P685" s="931"/>
      <c r="Q685" s="931"/>
      <c r="R685" s="931"/>
    </row>
    <row r="686" spans="1:18" s="328" customFormat="1" ht="13.5" customHeight="1">
      <c r="A686" s="331"/>
      <c r="B686" s="331"/>
      <c r="C686" s="332"/>
      <c r="D686" s="331"/>
      <c r="E686" s="333"/>
      <c r="F686" s="271"/>
      <c r="G686" s="931"/>
      <c r="H686" s="931"/>
      <c r="I686" s="931"/>
      <c r="J686" s="931"/>
      <c r="K686" s="931"/>
      <c r="L686" s="931"/>
      <c r="M686" s="931"/>
      <c r="N686" s="931"/>
      <c r="O686" s="931"/>
      <c r="P686" s="931"/>
      <c r="Q686" s="931"/>
      <c r="R686" s="931"/>
    </row>
    <row r="687" spans="1:18" s="328" customFormat="1" ht="13.5" customHeight="1">
      <c r="A687" s="331"/>
      <c r="B687" s="331"/>
      <c r="C687" s="332"/>
      <c r="D687" s="331"/>
      <c r="E687" s="333"/>
      <c r="F687" s="271"/>
      <c r="G687" s="931"/>
      <c r="H687" s="931"/>
      <c r="I687" s="931"/>
      <c r="J687" s="931"/>
      <c r="K687" s="931"/>
      <c r="L687" s="931"/>
      <c r="M687" s="931"/>
      <c r="N687" s="931"/>
      <c r="O687" s="931"/>
      <c r="P687" s="931"/>
      <c r="Q687" s="931"/>
      <c r="R687" s="931"/>
    </row>
    <row r="688" spans="1:18" s="328" customFormat="1" ht="13.5" customHeight="1">
      <c r="A688" s="331"/>
      <c r="B688" s="331"/>
      <c r="C688" s="332"/>
      <c r="D688" s="331"/>
      <c r="E688" s="333"/>
      <c r="F688" s="271"/>
      <c r="G688" s="931"/>
      <c r="H688" s="931"/>
      <c r="I688" s="931"/>
      <c r="J688" s="931"/>
      <c r="K688" s="931"/>
      <c r="L688" s="931"/>
      <c r="M688" s="931"/>
      <c r="N688" s="931"/>
      <c r="O688" s="931"/>
      <c r="P688" s="931"/>
      <c r="Q688" s="931"/>
      <c r="R688" s="931"/>
    </row>
    <row r="689" spans="1:18" s="328" customFormat="1" ht="13.5" customHeight="1">
      <c r="A689" s="331"/>
      <c r="B689" s="331"/>
      <c r="C689" s="332"/>
      <c r="D689" s="331"/>
      <c r="E689" s="333"/>
      <c r="F689" s="271"/>
      <c r="G689" s="931"/>
      <c r="H689" s="931"/>
      <c r="I689" s="931"/>
      <c r="J689" s="931"/>
      <c r="K689" s="931"/>
      <c r="L689" s="931"/>
      <c r="M689" s="931"/>
      <c r="N689" s="931"/>
      <c r="O689" s="931"/>
      <c r="P689" s="931"/>
      <c r="Q689" s="931"/>
      <c r="R689" s="931"/>
    </row>
    <row r="690" spans="1:18" s="328" customFormat="1" ht="13.5" customHeight="1">
      <c r="A690" s="331"/>
      <c r="B690" s="331"/>
      <c r="C690" s="332"/>
      <c r="D690" s="331"/>
      <c r="E690" s="333"/>
      <c r="F690" s="271"/>
      <c r="G690" s="931"/>
      <c r="H690" s="931"/>
      <c r="I690" s="931"/>
      <c r="J690" s="931"/>
      <c r="K690" s="931"/>
      <c r="L690" s="931"/>
      <c r="M690" s="931"/>
      <c r="N690" s="931"/>
      <c r="O690" s="931"/>
      <c r="P690" s="931"/>
      <c r="Q690" s="931"/>
      <c r="R690" s="931"/>
    </row>
    <row r="691" spans="1:18" s="328" customFormat="1" ht="13.5" customHeight="1">
      <c r="A691" s="331"/>
      <c r="B691" s="331"/>
      <c r="C691" s="332"/>
      <c r="D691" s="331"/>
      <c r="E691" s="333"/>
      <c r="F691" s="271"/>
      <c r="G691" s="931"/>
      <c r="H691" s="931"/>
      <c r="I691" s="931"/>
      <c r="J691" s="931"/>
      <c r="K691" s="931"/>
      <c r="L691" s="931"/>
      <c r="M691" s="931"/>
      <c r="N691" s="931"/>
      <c r="O691" s="931"/>
      <c r="P691" s="931"/>
      <c r="Q691" s="931"/>
      <c r="R691" s="931"/>
    </row>
    <row r="692" spans="1:18" s="328" customFormat="1" ht="13.5" customHeight="1">
      <c r="A692" s="331"/>
      <c r="B692" s="331"/>
      <c r="C692" s="332"/>
      <c r="D692" s="331"/>
      <c r="E692" s="333"/>
      <c r="F692" s="271"/>
      <c r="G692" s="931"/>
      <c r="H692" s="931"/>
      <c r="I692" s="931"/>
      <c r="J692" s="931"/>
      <c r="K692" s="931"/>
      <c r="L692" s="931"/>
      <c r="M692" s="931"/>
      <c r="N692" s="931"/>
      <c r="O692" s="931"/>
      <c r="P692" s="931"/>
      <c r="Q692" s="931"/>
      <c r="R692" s="931"/>
    </row>
    <row r="693" spans="1:18" s="328" customFormat="1" ht="13.5" customHeight="1">
      <c r="A693" s="331"/>
      <c r="B693" s="331"/>
      <c r="C693" s="332"/>
      <c r="D693" s="331"/>
      <c r="E693" s="333"/>
      <c r="F693" s="271"/>
      <c r="G693" s="931"/>
      <c r="H693" s="931"/>
      <c r="I693" s="931"/>
      <c r="J693" s="931"/>
      <c r="K693" s="931"/>
      <c r="L693" s="931"/>
      <c r="M693" s="931"/>
      <c r="N693" s="931"/>
      <c r="O693" s="931"/>
      <c r="P693" s="931"/>
      <c r="Q693" s="931"/>
      <c r="R693" s="931"/>
    </row>
    <row r="694" spans="1:18" s="328" customFormat="1" ht="13.5" customHeight="1">
      <c r="A694" s="331"/>
      <c r="B694" s="331"/>
      <c r="C694" s="332"/>
      <c r="D694" s="331"/>
      <c r="E694" s="333"/>
      <c r="F694" s="271"/>
      <c r="G694" s="931"/>
      <c r="H694" s="931"/>
      <c r="I694" s="931"/>
      <c r="J694" s="931"/>
      <c r="K694" s="931"/>
      <c r="L694" s="931"/>
      <c r="M694" s="931"/>
      <c r="N694" s="931"/>
      <c r="O694" s="931"/>
      <c r="P694" s="931"/>
      <c r="Q694" s="931"/>
      <c r="R694" s="931"/>
    </row>
    <row r="695" spans="1:18" s="328" customFormat="1" ht="13.5" customHeight="1">
      <c r="A695" s="331"/>
      <c r="B695" s="331"/>
      <c r="C695" s="332"/>
      <c r="D695" s="331"/>
      <c r="E695" s="333"/>
      <c r="F695" s="271"/>
      <c r="G695" s="931"/>
      <c r="H695" s="931"/>
      <c r="I695" s="931"/>
      <c r="J695" s="931"/>
      <c r="K695" s="931"/>
      <c r="L695" s="931"/>
      <c r="M695" s="931"/>
      <c r="N695" s="931"/>
      <c r="O695" s="931"/>
      <c r="P695" s="931"/>
      <c r="Q695" s="931"/>
      <c r="R695" s="931"/>
    </row>
    <row r="696" spans="1:18" s="328" customFormat="1" ht="13.5" customHeight="1">
      <c r="A696" s="331"/>
      <c r="B696" s="331"/>
      <c r="C696" s="332"/>
      <c r="D696" s="331"/>
      <c r="E696" s="333"/>
      <c r="F696" s="271"/>
      <c r="G696" s="931"/>
      <c r="H696" s="931"/>
      <c r="I696" s="931"/>
      <c r="J696" s="931"/>
      <c r="K696" s="931"/>
      <c r="L696" s="931"/>
      <c r="M696" s="931"/>
      <c r="N696" s="931"/>
      <c r="O696" s="931"/>
      <c r="P696" s="931"/>
      <c r="Q696" s="931"/>
      <c r="R696" s="931"/>
    </row>
    <row r="697" spans="1:18" s="328" customFormat="1" ht="13.5" customHeight="1">
      <c r="A697" s="331"/>
      <c r="B697" s="331"/>
      <c r="C697" s="332"/>
      <c r="D697" s="331"/>
      <c r="E697" s="333"/>
      <c r="F697" s="271"/>
      <c r="G697" s="931"/>
      <c r="H697" s="931"/>
      <c r="I697" s="931"/>
      <c r="J697" s="931"/>
      <c r="K697" s="931"/>
      <c r="L697" s="931"/>
      <c r="M697" s="931"/>
      <c r="N697" s="931"/>
      <c r="O697" s="931"/>
      <c r="P697" s="931"/>
      <c r="Q697" s="931"/>
      <c r="R697" s="931"/>
    </row>
    <row r="698" spans="1:18" s="328" customFormat="1" ht="13.5" customHeight="1">
      <c r="A698" s="331"/>
      <c r="B698" s="331"/>
      <c r="C698" s="332"/>
      <c r="D698" s="331"/>
      <c r="E698" s="333"/>
      <c r="F698" s="271"/>
      <c r="G698" s="931"/>
      <c r="H698" s="931"/>
      <c r="I698" s="931"/>
      <c r="J698" s="931"/>
      <c r="K698" s="931"/>
      <c r="L698" s="931"/>
      <c r="M698" s="931"/>
      <c r="N698" s="931"/>
      <c r="O698" s="931"/>
      <c r="P698" s="931"/>
      <c r="Q698" s="931"/>
      <c r="R698" s="931"/>
    </row>
    <row r="699" spans="1:18" s="328" customFormat="1" ht="13.5" customHeight="1">
      <c r="A699" s="331"/>
      <c r="B699" s="331"/>
      <c r="C699" s="332"/>
      <c r="D699" s="331"/>
      <c r="E699" s="333"/>
      <c r="F699" s="271"/>
      <c r="G699" s="931"/>
      <c r="H699" s="931"/>
      <c r="I699" s="931"/>
      <c r="J699" s="931"/>
      <c r="K699" s="931"/>
      <c r="L699" s="931"/>
      <c r="M699" s="931"/>
      <c r="N699" s="931"/>
      <c r="O699" s="931"/>
      <c r="P699" s="931"/>
      <c r="Q699" s="931"/>
      <c r="R699" s="931"/>
    </row>
    <row r="700" spans="1:18" s="328" customFormat="1" ht="13.5" customHeight="1">
      <c r="A700" s="331"/>
      <c r="B700" s="331"/>
      <c r="C700" s="332"/>
      <c r="D700" s="331"/>
      <c r="E700" s="333"/>
      <c r="F700" s="271"/>
      <c r="G700" s="931"/>
      <c r="H700" s="931"/>
      <c r="I700" s="931"/>
      <c r="J700" s="931"/>
      <c r="K700" s="931"/>
      <c r="L700" s="931"/>
      <c r="M700" s="931"/>
      <c r="N700" s="931"/>
      <c r="O700" s="931"/>
      <c r="P700" s="931"/>
      <c r="Q700" s="931"/>
      <c r="R700" s="931"/>
    </row>
    <row r="701" spans="1:18" s="328" customFormat="1" ht="13.5" customHeight="1">
      <c r="A701" s="331"/>
      <c r="B701" s="331"/>
      <c r="C701" s="332"/>
      <c r="D701" s="331"/>
      <c r="E701" s="333"/>
      <c r="F701" s="271"/>
      <c r="G701" s="931"/>
      <c r="H701" s="931"/>
      <c r="I701" s="931"/>
      <c r="J701" s="931"/>
      <c r="K701" s="931"/>
      <c r="L701" s="931"/>
      <c r="M701" s="931"/>
      <c r="N701" s="931"/>
      <c r="O701" s="931"/>
      <c r="P701" s="931"/>
      <c r="Q701" s="931"/>
      <c r="R701" s="931"/>
    </row>
    <row r="702" spans="1:18" s="328" customFormat="1" ht="13.5" customHeight="1">
      <c r="A702" s="331"/>
      <c r="B702" s="331"/>
      <c r="C702" s="332"/>
      <c r="D702" s="331"/>
      <c r="E702" s="333"/>
      <c r="F702" s="271"/>
      <c r="G702" s="931"/>
      <c r="H702" s="931"/>
      <c r="I702" s="931"/>
      <c r="J702" s="931"/>
      <c r="K702" s="931"/>
      <c r="L702" s="931"/>
      <c r="M702" s="931"/>
      <c r="N702" s="931"/>
      <c r="O702" s="931"/>
      <c r="P702" s="931"/>
      <c r="Q702" s="931"/>
      <c r="R702" s="931"/>
    </row>
    <row r="703" spans="1:18" s="328" customFormat="1" ht="13.5" customHeight="1">
      <c r="A703" s="331"/>
      <c r="B703" s="331"/>
      <c r="C703" s="332"/>
      <c r="D703" s="331"/>
      <c r="E703" s="333"/>
      <c r="F703" s="271"/>
      <c r="G703" s="931"/>
      <c r="H703" s="931"/>
      <c r="I703" s="931"/>
      <c r="J703" s="931"/>
      <c r="K703" s="931"/>
      <c r="L703" s="931"/>
      <c r="M703" s="931"/>
      <c r="N703" s="931"/>
      <c r="O703" s="931"/>
      <c r="P703" s="931"/>
      <c r="Q703" s="931"/>
      <c r="R703" s="931"/>
    </row>
    <row r="704" spans="1:18" s="328" customFormat="1" ht="13.5" customHeight="1">
      <c r="A704" s="331"/>
      <c r="B704" s="331"/>
      <c r="C704" s="332"/>
      <c r="D704" s="331"/>
      <c r="E704" s="333"/>
      <c r="F704" s="271"/>
      <c r="G704" s="931"/>
      <c r="H704" s="931"/>
      <c r="I704" s="931"/>
      <c r="J704" s="931"/>
      <c r="K704" s="931"/>
      <c r="L704" s="931"/>
      <c r="M704" s="931"/>
      <c r="N704" s="931"/>
      <c r="O704" s="931"/>
      <c r="P704" s="931"/>
      <c r="Q704" s="931"/>
      <c r="R704" s="931"/>
    </row>
    <row r="705" spans="1:18" s="328" customFormat="1" ht="13.5" customHeight="1">
      <c r="A705" s="331"/>
      <c r="B705" s="331"/>
      <c r="C705" s="332"/>
      <c r="D705" s="331"/>
      <c r="E705" s="333"/>
      <c r="F705" s="271"/>
      <c r="G705" s="931"/>
      <c r="H705" s="931"/>
      <c r="I705" s="931"/>
      <c r="J705" s="931"/>
      <c r="K705" s="931"/>
      <c r="L705" s="931"/>
      <c r="M705" s="931"/>
      <c r="N705" s="931"/>
      <c r="O705" s="931"/>
      <c r="P705" s="931"/>
      <c r="Q705" s="931"/>
      <c r="R705" s="931"/>
    </row>
    <row r="706" spans="1:18" s="328" customFormat="1" ht="13.5" customHeight="1">
      <c r="A706" s="331"/>
      <c r="B706" s="331"/>
      <c r="C706" s="332"/>
      <c r="D706" s="331"/>
      <c r="E706" s="333"/>
      <c r="F706" s="271"/>
      <c r="G706" s="931"/>
      <c r="H706" s="931"/>
      <c r="I706" s="931"/>
      <c r="J706" s="931"/>
      <c r="K706" s="931"/>
      <c r="L706" s="931"/>
      <c r="M706" s="931"/>
      <c r="N706" s="931"/>
      <c r="O706" s="931"/>
      <c r="P706" s="931"/>
      <c r="Q706" s="931"/>
      <c r="R706" s="931"/>
    </row>
    <row r="707" spans="1:18" s="328" customFormat="1" ht="13.5" customHeight="1">
      <c r="A707" s="331"/>
      <c r="B707" s="331"/>
      <c r="C707" s="332"/>
      <c r="D707" s="331"/>
      <c r="E707" s="333"/>
      <c r="F707" s="271"/>
      <c r="G707" s="931"/>
      <c r="H707" s="931"/>
      <c r="I707" s="931"/>
      <c r="J707" s="931"/>
      <c r="K707" s="931"/>
      <c r="L707" s="931"/>
      <c r="M707" s="931"/>
      <c r="N707" s="931"/>
      <c r="O707" s="931"/>
      <c r="P707" s="931"/>
      <c r="Q707" s="931"/>
      <c r="R707" s="931"/>
    </row>
    <row r="708" spans="1:18" s="328" customFormat="1" ht="13.5" customHeight="1">
      <c r="A708" s="331"/>
      <c r="B708" s="331"/>
      <c r="C708" s="332"/>
      <c r="D708" s="331"/>
      <c r="E708" s="333"/>
      <c r="F708" s="271"/>
      <c r="G708" s="931"/>
      <c r="H708" s="931"/>
      <c r="I708" s="931"/>
      <c r="J708" s="931"/>
      <c r="K708" s="931"/>
      <c r="L708" s="931"/>
      <c r="M708" s="931"/>
      <c r="N708" s="931"/>
      <c r="O708" s="931"/>
      <c r="P708" s="931"/>
      <c r="Q708" s="931"/>
      <c r="R708" s="931"/>
    </row>
    <row r="709" spans="1:18" s="328" customFormat="1" ht="13.5" customHeight="1">
      <c r="A709" s="331"/>
      <c r="B709" s="331"/>
      <c r="C709" s="332"/>
      <c r="D709" s="331"/>
      <c r="E709" s="333"/>
      <c r="F709" s="271"/>
      <c r="G709" s="931"/>
      <c r="H709" s="931"/>
      <c r="I709" s="931"/>
      <c r="J709" s="931"/>
      <c r="K709" s="931"/>
      <c r="L709" s="931"/>
      <c r="M709" s="931"/>
      <c r="N709" s="931"/>
      <c r="O709" s="931"/>
      <c r="P709" s="931"/>
      <c r="Q709" s="931"/>
      <c r="R709" s="931"/>
    </row>
    <row r="710" spans="1:18" s="328" customFormat="1" ht="13.5" customHeight="1">
      <c r="A710" s="331"/>
      <c r="B710" s="331"/>
      <c r="C710" s="332"/>
      <c r="D710" s="331"/>
      <c r="E710" s="333"/>
      <c r="F710" s="271"/>
      <c r="G710" s="931"/>
      <c r="H710" s="931"/>
      <c r="I710" s="931"/>
      <c r="J710" s="931"/>
      <c r="K710" s="931"/>
      <c r="L710" s="931"/>
      <c r="M710" s="931"/>
      <c r="N710" s="931"/>
      <c r="O710" s="931"/>
      <c r="P710" s="931"/>
      <c r="Q710" s="931"/>
      <c r="R710" s="931"/>
    </row>
    <row r="711" spans="1:18" s="328" customFormat="1" ht="13.5" customHeight="1">
      <c r="A711" s="331"/>
      <c r="B711" s="331"/>
      <c r="C711" s="332"/>
      <c r="D711" s="331"/>
      <c r="E711" s="333"/>
      <c r="F711" s="271"/>
      <c r="G711" s="931"/>
      <c r="H711" s="931"/>
      <c r="I711" s="931"/>
      <c r="J711" s="931"/>
      <c r="K711" s="931"/>
      <c r="L711" s="931"/>
      <c r="M711" s="931"/>
      <c r="N711" s="931"/>
      <c r="O711" s="931"/>
      <c r="P711" s="931"/>
      <c r="Q711" s="931"/>
      <c r="R711" s="931"/>
    </row>
    <row r="712" spans="1:18" s="328" customFormat="1" ht="13.5" customHeight="1">
      <c r="A712" s="331"/>
      <c r="B712" s="331"/>
      <c r="C712" s="332"/>
      <c r="D712" s="331"/>
      <c r="E712" s="333"/>
      <c r="F712" s="271"/>
      <c r="G712" s="931"/>
      <c r="H712" s="931"/>
      <c r="I712" s="931"/>
      <c r="J712" s="931"/>
      <c r="K712" s="931"/>
      <c r="L712" s="931"/>
      <c r="M712" s="931"/>
      <c r="N712" s="931"/>
      <c r="O712" s="931"/>
      <c r="P712" s="931"/>
      <c r="Q712" s="931"/>
      <c r="R712" s="931"/>
    </row>
    <row r="713" spans="1:18" s="328" customFormat="1" ht="13.5" customHeight="1">
      <c r="A713" s="331"/>
      <c r="B713" s="331"/>
      <c r="C713" s="332"/>
      <c r="D713" s="331"/>
      <c r="E713" s="333"/>
      <c r="F713" s="271"/>
      <c r="G713" s="931"/>
      <c r="H713" s="931"/>
      <c r="I713" s="931"/>
      <c r="J713" s="931"/>
      <c r="K713" s="931"/>
      <c r="L713" s="931"/>
      <c r="M713" s="931"/>
      <c r="N713" s="931"/>
      <c r="O713" s="931"/>
      <c r="P713" s="931"/>
      <c r="Q713" s="931"/>
      <c r="R713" s="931"/>
    </row>
    <row r="714" spans="1:18" s="328" customFormat="1" ht="13.5" customHeight="1">
      <c r="A714" s="331"/>
      <c r="B714" s="331"/>
      <c r="C714" s="332"/>
      <c r="D714" s="331"/>
      <c r="E714" s="333"/>
      <c r="F714" s="271"/>
      <c r="G714" s="931"/>
      <c r="H714" s="931"/>
      <c r="I714" s="931"/>
      <c r="J714" s="931"/>
      <c r="K714" s="931"/>
      <c r="L714" s="931"/>
      <c r="M714" s="931"/>
      <c r="N714" s="931"/>
      <c r="O714" s="931"/>
      <c r="P714" s="931"/>
      <c r="Q714" s="931"/>
      <c r="R714" s="931"/>
    </row>
    <row r="715" spans="1:18" s="328" customFormat="1" ht="13.5" customHeight="1">
      <c r="A715" s="331"/>
      <c r="B715" s="331"/>
      <c r="C715" s="332"/>
      <c r="D715" s="331"/>
      <c r="E715" s="333"/>
      <c r="F715" s="271"/>
      <c r="G715" s="931"/>
      <c r="H715" s="931"/>
      <c r="I715" s="931"/>
      <c r="J715" s="931"/>
      <c r="K715" s="931"/>
      <c r="L715" s="931"/>
      <c r="M715" s="931"/>
      <c r="N715" s="931"/>
      <c r="O715" s="931"/>
      <c r="P715" s="931"/>
      <c r="Q715" s="931"/>
      <c r="R715" s="931"/>
    </row>
    <row r="716" spans="1:18" s="328" customFormat="1" ht="13.5" customHeight="1">
      <c r="A716" s="331"/>
      <c r="B716" s="331"/>
      <c r="C716" s="332"/>
      <c r="D716" s="331"/>
      <c r="E716" s="333"/>
      <c r="F716" s="271"/>
      <c r="G716" s="931"/>
      <c r="H716" s="931"/>
      <c r="I716" s="931"/>
      <c r="J716" s="931"/>
      <c r="K716" s="931"/>
      <c r="L716" s="931"/>
      <c r="M716" s="931"/>
      <c r="N716" s="931"/>
      <c r="O716" s="931"/>
      <c r="P716" s="931"/>
      <c r="Q716" s="931"/>
      <c r="R716" s="931"/>
    </row>
    <row r="717" spans="1:18" s="328" customFormat="1" ht="13.5" customHeight="1">
      <c r="A717" s="331"/>
      <c r="B717" s="331"/>
      <c r="C717" s="332"/>
      <c r="D717" s="331"/>
      <c r="E717" s="333"/>
      <c r="F717" s="271"/>
      <c r="G717" s="931"/>
      <c r="H717" s="931"/>
      <c r="I717" s="931"/>
      <c r="J717" s="931"/>
      <c r="K717" s="931"/>
      <c r="L717" s="931"/>
      <c r="M717" s="931"/>
      <c r="N717" s="931"/>
      <c r="O717" s="931"/>
      <c r="P717" s="931"/>
      <c r="Q717" s="931"/>
      <c r="R717" s="931"/>
    </row>
    <row r="718" spans="1:18" s="328" customFormat="1" ht="13.5" customHeight="1">
      <c r="A718" s="331"/>
      <c r="B718" s="331"/>
      <c r="C718" s="332"/>
      <c r="D718" s="331"/>
      <c r="E718" s="333"/>
      <c r="F718" s="271"/>
      <c r="G718" s="931"/>
      <c r="H718" s="931"/>
      <c r="I718" s="931"/>
      <c r="J718" s="931"/>
      <c r="K718" s="931"/>
      <c r="L718" s="931"/>
      <c r="M718" s="931"/>
      <c r="N718" s="931"/>
      <c r="O718" s="931"/>
      <c r="P718" s="931"/>
      <c r="Q718" s="931"/>
      <c r="R718" s="931"/>
    </row>
    <row r="719" spans="1:18" s="328" customFormat="1" ht="13.5" customHeight="1">
      <c r="A719" s="331"/>
      <c r="B719" s="331"/>
      <c r="C719" s="332"/>
      <c r="D719" s="331"/>
      <c r="E719" s="333"/>
      <c r="F719" s="271"/>
      <c r="G719" s="931"/>
      <c r="H719" s="931"/>
      <c r="I719" s="931"/>
      <c r="J719" s="931"/>
      <c r="K719" s="931"/>
      <c r="L719" s="931"/>
      <c r="M719" s="931"/>
      <c r="N719" s="931"/>
      <c r="O719" s="931"/>
      <c r="P719" s="931"/>
      <c r="Q719" s="931"/>
      <c r="R719" s="931"/>
    </row>
    <row r="720" spans="1:18" s="328" customFormat="1" ht="13.5" customHeight="1">
      <c r="A720" s="331"/>
      <c r="B720" s="331"/>
      <c r="C720" s="332"/>
      <c r="D720" s="331"/>
      <c r="E720" s="333"/>
      <c r="F720" s="271"/>
      <c r="G720" s="931"/>
      <c r="H720" s="931"/>
      <c r="I720" s="931"/>
      <c r="J720" s="931"/>
      <c r="K720" s="931"/>
      <c r="L720" s="931"/>
      <c r="M720" s="931"/>
      <c r="N720" s="931"/>
      <c r="O720" s="931"/>
      <c r="P720" s="931"/>
      <c r="Q720" s="931"/>
      <c r="R720" s="931"/>
    </row>
    <row r="721" spans="1:18" s="328" customFormat="1" ht="13.5" customHeight="1">
      <c r="A721" s="331"/>
      <c r="B721" s="331"/>
      <c r="C721" s="332"/>
      <c r="D721" s="331"/>
      <c r="E721" s="333"/>
      <c r="F721" s="271"/>
      <c r="G721" s="931"/>
      <c r="H721" s="931"/>
      <c r="I721" s="931"/>
      <c r="J721" s="931"/>
      <c r="K721" s="931"/>
      <c r="L721" s="931"/>
      <c r="M721" s="931"/>
      <c r="N721" s="931"/>
      <c r="O721" s="931"/>
      <c r="P721" s="931"/>
      <c r="Q721" s="931"/>
      <c r="R721" s="931"/>
    </row>
    <row r="722" spans="1:18" s="328" customFormat="1" ht="13.5" customHeight="1">
      <c r="A722" s="331"/>
      <c r="B722" s="331"/>
      <c r="C722" s="332"/>
      <c r="D722" s="331"/>
      <c r="E722" s="333"/>
      <c r="F722" s="271"/>
      <c r="G722" s="931"/>
      <c r="H722" s="931"/>
      <c r="I722" s="931"/>
      <c r="J722" s="931"/>
      <c r="K722" s="931"/>
      <c r="L722" s="931"/>
      <c r="M722" s="931"/>
      <c r="N722" s="931"/>
      <c r="O722" s="931"/>
      <c r="P722" s="931"/>
      <c r="Q722" s="931"/>
      <c r="R722" s="931"/>
    </row>
    <row r="723" spans="1:18" s="328" customFormat="1" ht="13.5" customHeight="1">
      <c r="A723" s="331"/>
      <c r="B723" s="331"/>
      <c r="C723" s="332"/>
      <c r="D723" s="331"/>
      <c r="E723" s="333"/>
      <c r="F723" s="271"/>
      <c r="G723" s="931"/>
      <c r="H723" s="931"/>
      <c r="I723" s="931"/>
      <c r="J723" s="931"/>
      <c r="K723" s="931"/>
      <c r="L723" s="931"/>
      <c r="M723" s="931"/>
      <c r="N723" s="931"/>
      <c r="O723" s="931"/>
      <c r="P723" s="931"/>
      <c r="Q723" s="931"/>
      <c r="R723" s="931"/>
    </row>
    <row r="724" spans="1:18" s="328" customFormat="1" ht="13.5" customHeight="1">
      <c r="A724" s="331"/>
      <c r="B724" s="331"/>
      <c r="C724" s="332"/>
      <c r="D724" s="331"/>
      <c r="E724" s="333"/>
      <c r="F724" s="271"/>
      <c r="G724" s="931"/>
      <c r="H724" s="931"/>
      <c r="I724" s="931"/>
      <c r="J724" s="931"/>
      <c r="K724" s="931"/>
      <c r="L724" s="931"/>
      <c r="M724" s="931"/>
      <c r="N724" s="931"/>
      <c r="O724" s="931"/>
      <c r="P724" s="931"/>
      <c r="Q724" s="931"/>
      <c r="R724" s="931"/>
    </row>
    <row r="725" spans="1:18" s="328" customFormat="1" ht="13.5" customHeight="1">
      <c r="A725" s="331"/>
      <c r="B725" s="331"/>
      <c r="C725" s="332"/>
      <c r="D725" s="331"/>
      <c r="E725" s="333"/>
      <c r="F725" s="271"/>
      <c r="G725" s="931"/>
      <c r="H725" s="931"/>
      <c r="I725" s="931"/>
      <c r="J725" s="931"/>
      <c r="K725" s="931"/>
      <c r="L725" s="931"/>
      <c r="M725" s="931"/>
      <c r="N725" s="931"/>
      <c r="O725" s="931"/>
      <c r="P725" s="931"/>
      <c r="Q725" s="931"/>
      <c r="R725" s="931"/>
    </row>
    <row r="726" spans="1:18" s="328" customFormat="1" ht="13.5" customHeight="1">
      <c r="A726" s="331"/>
      <c r="B726" s="331"/>
      <c r="C726" s="332"/>
      <c r="D726" s="331"/>
      <c r="E726" s="333"/>
      <c r="F726" s="271"/>
      <c r="G726" s="931"/>
      <c r="H726" s="931"/>
      <c r="I726" s="931"/>
      <c r="J726" s="931"/>
      <c r="K726" s="931"/>
      <c r="L726" s="931"/>
      <c r="M726" s="931"/>
      <c r="N726" s="931"/>
      <c r="O726" s="931"/>
      <c r="P726" s="931"/>
      <c r="Q726" s="931"/>
      <c r="R726" s="931"/>
    </row>
    <row r="727" spans="1:18" s="328" customFormat="1" ht="13.5" customHeight="1">
      <c r="A727" s="331"/>
      <c r="B727" s="331"/>
      <c r="C727" s="332"/>
      <c r="D727" s="331"/>
      <c r="E727" s="333"/>
      <c r="F727" s="271"/>
      <c r="G727" s="931"/>
      <c r="H727" s="931"/>
      <c r="I727" s="931"/>
      <c r="J727" s="931"/>
      <c r="K727" s="931"/>
      <c r="L727" s="931"/>
      <c r="M727" s="931"/>
      <c r="N727" s="931"/>
      <c r="O727" s="931"/>
      <c r="P727" s="931"/>
      <c r="Q727" s="931"/>
      <c r="R727" s="931"/>
    </row>
    <row r="728" spans="1:18" s="328" customFormat="1" ht="13.5" customHeight="1">
      <c r="A728" s="331"/>
      <c r="B728" s="331"/>
      <c r="C728" s="332"/>
      <c r="D728" s="331"/>
      <c r="E728" s="333"/>
      <c r="F728" s="271"/>
      <c r="G728" s="931"/>
      <c r="H728" s="931"/>
      <c r="I728" s="931"/>
      <c r="J728" s="931"/>
      <c r="K728" s="931"/>
      <c r="L728" s="931"/>
      <c r="M728" s="931"/>
      <c r="N728" s="931"/>
      <c r="O728" s="931"/>
      <c r="P728" s="931"/>
      <c r="Q728" s="931"/>
      <c r="R728" s="931"/>
    </row>
    <row r="729" spans="1:18" s="328" customFormat="1" ht="13.5" customHeight="1">
      <c r="A729" s="331"/>
      <c r="B729" s="331"/>
      <c r="C729" s="332"/>
      <c r="D729" s="331"/>
      <c r="E729" s="333"/>
      <c r="F729" s="271"/>
      <c r="G729" s="931"/>
      <c r="H729" s="931"/>
      <c r="I729" s="931"/>
      <c r="J729" s="931"/>
      <c r="K729" s="931"/>
      <c r="L729" s="931"/>
      <c r="M729" s="931"/>
      <c r="N729" s="931"/>
      <c r="O729" s="931"/>
      <c r="P729" s="931"/>
      <c r="Q729" s="931"/>
      <c r="R729" s="931"/>
    </row>
    <row r="730" spans="1:18" s="328" customFormat="1" ht="13.5" customHeight="1">
      <c r="A730" s="331"/>
      <c r="B730" s="331"/>
      <c r="C730" s="332"/>
      <c r="D730" s="331"/>
      <c r="E730" s="333"/>
      <c r="F730" s="271"/>
      <c r="G730" s="931"/>
      <c r="H730" s="931"/>
      <c r="I730" s="931"/>
      <c r="J730" s="931"/>
      <c r="K730" s="931"/>
      <c r="L730" s="931"/>
      <c r="M730" s="931"/>
      <c r="N730" s="931"/>
      <c r="O730" s="931"/>
      <c r="P730" s="931"/>
      <c r="Q730" s="931"/>
      <c r="R730" s="931"/>
    </row>
    <row r="731" spans="1:18" s="328" customFormat="1" ht="13.5" customHeight="1">
      <c r="A731" s="331"/>
      <c r="B731" s="331"/>
      <c r="C731" s="332"/>
      <c r="D731" s="331"/>
      <c r="E731" s="333"/>
      <c r="F731" s="271"/>
      <c r="G731" s="931"/>
      <c r="H731" s="931"/>
      <c r="I731" s="931"/>
      <c r="J731" s="931"/>
      <c r="K731" s="931"/>
      <c r="L731" s="931"/>
      <c r="M731" s="931"/>
      <c r="N731" s="931"/>
      <c r="O731" s="931"/>
      <c r="P731" s="931"/>
      <c r="Q731" s="931"/>
      <c r="R731" s="931"/>
    </row>
    <row r="732" spans="1:18" s="328" customFormat="1" ht="13.5" customHeight="1">
      <c r="A732" s="331"/>
      <c r="B732" s="331"/>
      <c r="C732" s="332"/>
      <c r="D732" s="331"/>
      <c r="E732" s="333"/>
      <c r="F732" s="271"/>
      <c r="G732" s="931"/>
      <c r="H732" s="931"/>
      <c r="I732" s="931"/>
      <c r="J732" s="931"/>
      <c r="K732" s="931"/>
      <c r="L732" s="931"/>
      <c r="M732" s="931"/>
      <c r="N732" s="931"/>
      <c r="O732" s="931"/>
      <c r="P732" s="931"/>
      <c r="Q732" s="931"/>
      <c r="R732" s="931"/>
    </row>
    <row r="733" spans="1:18" s="328" customFormat="1" ht="13.5" customHeight="1">
      <c r="A733" s="331"/>
      <c r="B733" s="331"/>
      <c r="C733" s="332"/>
      <c r="D733" s="331"/>
      <c r="E733" s="333"/>
      <c r="F733" s="271"/>
      <c r="G733" s="931"/>
      <c r="H733" s="931"/>
      <c r="I733" s="931"/>
      <c r="J733" s="931"/>
      <c r="K733" s="931"/>
      <c r="L733" s="931"/>
      <c r="M733" s="931"/>
      <c r="N733" s="931"/>
      <c r="O733" s="931"/>
      <c r="P733" s="931"/>
      <c r="Q733" s="931"/>
      <c r="R733" s="931"/>
    </row>
    <row r="734" spans="1:18" s="328" customFormat="1" ht="13.5" customHeight="1">
      <c r="A734" s="331"/>
      <c r="B734" s="331"/>
      <c r="C734" s="332"/>
      <c r="D734" s="331"/>
      <c r="E734" s="333"/>
      <c r="F734" s="271"/>
      <c r="G734" s="931"/>
      <c r="H734" s="931"/>
      <c r="I734" s="931"/>
      <c r="J734" s="931"/>
      <c r="K734" s="931"/>
      <c r="L734" s="931"/>
      <c r="M734" s="931"/>
      <c r="N734" s="931"/>
      <c r="O734" s="931"/>
      <c r="P734" s="931"/>
      <c r="Q734" s="931"/>
      <c r="R734" s="931"/>
    </row>
    <row r="735" spans="1:18" s="328" customFormat="1" ht="13.5" customHeight="1">
      <c r="A735" s="331"/>
      <c r="B735" s="331"/>
      <c r="C735" s="332"/>
      <c r="D735" s="331"/>
      <c r="E735" s="333"/>
      <c r="F735" s="271"/>
      <c r="G735" s="931"/>
      <c r="H735" s="931"/>
      <c r="I735" s="931"/>
      <c r="J735" s="931"/>
      <c r="K735" s="931"/>
      <c r="L735" s="931"/>
      <c r="M735" s="931"/>
      <c r="N735" s="931"/>
      <c r="O735" s="931"/>
      <c r="P735" s="931"/>
      <c r="Q735" s="931"/>
      <c r="R735" s="931"/>
    </row>
    <row r="736" spans="1:18" s="328" customFormat="1" ht="13.5" customHeight="1">
      <c r="A736" s="331"/>
      <c r="B736" s="331"/>
      <c r="C736" s="332"/>
      <c r="D736" s="331"/>
      <c r="E736" s="333"/>
      <c r="F736" s="271"/>
      <c r="G736" s="931"/>
      <c r="H736" s="931"/>
      <c r="I736" s="931"/>
      <c r="J736" s="931"/>
      <c r="K736" s="931"/>
      <c r="L736" s="931"/>
      <c r="M736" s="931"/>
      <c r="N736" s="931"/>
      <c r="O736" s="931"/>
      <c r="P736" s="931"/>
      <c r="Q736" s="931"/>
      <c r="R736" s="931"/>
    </row>
    <row r="737" spans="1:18" s="328" customFormat="1" ht="13.5" customHeight="1">
      <c r="A737" s="331"/>
      <c r="B737" s="331"/>
      <c r="C737" s="332"/>
      <c r="D737" s="331"/>
      <c r="E737" s="333"/>
      <c r="F737" s="271"/>
      <c r="G737" s="931"/>
      <c r="H737" s="931"/>
      <c r="I737" s="931"/>
      <c r="J737" s="931"/>
      <c r="K737" s="931"/>
      <c r="L737" s="931"/>
      <c r="M737" s="931"/>
      <c r="N737" s="931"/>
      <c r="O737" s="931"/>
      <c r="P737" s="931"/>
      <c r="Q737" s="931"/>
      <c r="R737" s="931"/>
    </row>
    <row r="738" spans="1:18" s="328" customFormat="1" ht="13.5" customHeight="1">
      <c r="A738" s="331"/>
      <c r="B738" s="331"/>
      <c r="C738" s="332"/>
      <c r="D738" s="331"/>
      <c r="E738" s="333"/>
      <c r="F738" s="271"/>
      <c r="G738" s="931"/>
      <c r="H738" s="931"/>
      <c r="I738" s="931"/>
      <c r="J738" s="931"/>
      <c r="K738" s="931"/>
      <c r="L738" s="931"/>
      <c r="M738" s="931"/>
      <c r="N738" s="931"/>
      <c r="O738" s="931"/>
      <c r="P738" s="931"/>
      <c r="Q738" s="931"/>
      <c r="R738" s="931"/>
    </row>
    <row r="739" spans="1:18" s="328" customFormat="1" ht="13.5" customHeight="1">
      <c r="A739" s="331"/>
      <c r="B739" s="331"/>
      <c r="C739" s="332"/>
      <c r="D739" s="331"/>
      <c r="E739" s="333"/>
      <c r="F739" s="271"/>
      <c r="G739" s="931"/>
      <c r="H739" s="931"/>
      <c r="I739" s="931"/>
      <c r="J739" s="931"/>
      <c r="K739" s="931"/>
      <c r="L739" s="931"/>
      <c r="M739" s="931"/>
      <c r="N739" s="931"/>
      <c r="O739" s="931"/>
      <c r="P739" s="931"/>
      <c r="Q739" s="931"/>
      <c r="R739" s="931"/>
    </row>
    <row r="740" spans="1:18" s="328" customFormat="1" ht="13.5" customHeight="1">
      <c r="A740" s="331"/>
      <c r="B740" s="331"/>
      <c r="C740" s="332"/>
      <c r="D740" s="331"/>
      <c r="E740" s="333"/>
      <c r="F740" s="271"/>
      <c r="G740" s="931"/>
      <c r="H740" s="931"/>
      <c r="I740" s="931"/>
      <c r="J740" s="931"/>
      <c r="K740" s="931"/>
      <c r="L740" s="931"/>
      <c r="M740" s="931"/>
      <c r="N740" s="931"/>
      <c r="O740" s="931"/>
      <c r="P740" s="931"/>
      <c r="Q740" s="931"/>
      <c r="R740" s="931"/>
    </row>
    <row r="741" spans="1:18" s="328" customFormat="1" ht="13.5" customHeight="1">
      <c r="A741" s="331"/>
      <c r="B741" s="331"/>
      <c r="C741" s="332"/>
      <c r="D741" s="331"/>
      <c r="E741" s="333"/>
      <c r="F741" s="271"/>
      <c r="G741" s="931"/>
      <c r="H741" s="931"/>
      <c r="I741" s="931"/>
      <c r="J741" s="931"/>
      <c r="K741" s="931"/>
      <c r="L741" s="931"/>
      <c r="M741" s="931"/>
      <c r="N741" s="931"/>
      <c r="O741" s="931"/>
      <c r="P741" s="931"/>
      <c r="Q741" s="931"/>
      <c r="R741" s="931"/>
    </row>
    <row r="742" spans="1:18" s="328" customFormat="1" ht="13.5" customHeight="1">
      <c r="A742" s="331"/>
      <c r="B742" s="331"/>
      <c r="C742" s="332"/>
      <c r="D742" s="331"/>
      <c r="E742" s="333"/>
      <c r="F742" s="271"/>
      <c r="G742" s="931"/>
      <c r="H742" s="931"/>
      <c r="I742" s="931"/>
      <c r="J742" s="931"/>
      <c r="K742" s="931"/>
      <c r="L742" s="931"/>
      <c r="M742" s="931"/>
      <c r="N742" s="931"/>
      <c r="O742" s="931"/>
      <c r="P742" s="931"/>
      <c r="Q742" s="931"/>
      <c r="R742" s="931"/>
    </row>
    <row r="743" spans="1:18" s="328" customFormat="1" ht="13.5" customHeight="1">
      <c r="A743" s="331"/>
      <c r="B743" s="331"/>
      <c r="C743" s="332"/>
      <c r="D743" s="331"/>
      <c r="E743" s="333"/>
      <c r="F743" s="271"/>
      <c r="G743" s="931"/>
      <c r="H743" s="931"/>
      <c r="I743" s="931"/>
      <c r="J743" s="931"/>
      <c r="K743" s="931"/>
      <c r="L743" s="931"/>
      <c r="M743" s="931"/>
      <c r="N743" s="931"/>
      <c r="O743" s="931"/>
      <c r="P743" s="931"/>
      <c r="Q743" s="931"/>
      <c r="R743" s="931"/>
    </row>
    <row r="744" spans="1:18" s="328" customFormat="1" ht="13.5" customHeight="1">
      <c r="A744" s="331"/>
      <c r="B744" s="331"/>
      <c r="C744" s="332"/>
      <c r="D744" s="331"/>
      <c r="E744" s="333"/>
      <c r="F744" s="271"/>
      <c r="G744" s="931"/>
      <c r="H744" s="931"/>
      <c r="I744" s="931"/>
      <c r="J744" s="931"/>
      <c r="K744" s="931"/>
      <c r="L744" s="931"/>
      <c r="M744" s="931"/>
      <c r="N744" s="931"/>
      <c r="O744" s="931"/>
      <c r="P744" s="931"/>
      <c r="Q744" s="931"/>
      <c r="R744" s="931"/>
    </row>
    <row r="745" spans="1:18" s="328" customFormat="1" ht="13.5" customHeight="1">
      <c r="A745" s="331"/>
      <c r="B745" s="331"/>
      <c r="C745" s="332"/>
      <c r="D745" s="331"/>
      <c r="E745" s="333"/>
      <c r="F745" s="271"/>
      <c r="G745" s="931"/>
      <c r="H745" s="931"/>
      <c r="I745" s="931"/>
      <c r="J745" s="931"/>
      <c r="K745" s="931"/>
      <c r="L745" s="931"/>
      <c r="M745" s="931"/>
      <c r="N745" s="931"/>
      <c r="O745" s="931"/>
      <c r="P745" s="931"/>
      <c r="Q745" s="931"/>
      <c r="R745" s="931"/>
    </row>
    <row r="746" spans="1:18" s="328" customFormat="1" ht="13.5" customHeight="1">
      <c r="A746" s="331"/>
      <c r="B746" s="331"/>
      <c r="C746" s="332"/>
      <c r="D746" s="331"/>
      <c r="E746" s="333"/>
      <c r="F746" s="271"/>
      <c r="G746" s="931"/>
      <c r="H746" s="931"/>
      <c r="I746" s="931"/>
      <c r="J746" s="931"/>
      <c r="K746" s="931"/>
      <c r="L746" s="931"/>
      <c r="M746" s="931"/>
      <c r="N746" s="931"/>
      <c r="O746" s="931"/>
      <c r="P746" s="931"/>
      <c r="Q746" s="931"/>
      <c r="R746" s="931"/>
    </row>
    <row r="747" spans="1:18" s="328" customFormat="1" ht="13.5" customHeight="1">
      <c r="A747" s="331"/>
      <c r="B747" s="331"/>
      <c r="C747" s="332"/>
      <c r="D747" s="331"/>
      <c r="E747" s="333"/>
      <c r="F747" s="271"/>
      <c r="G747" s="931"/>
      <c r="H747" s="931"/>
      <c r="I747" s="931"/>
      <c r="J747" s="931"/>
      <c r="K747" s="931"/>
      <c r="L747" s="931"/>
      <c r="M747" s="931"/>
      <c r="N747" s="931"/>
      <c r="O747" s="931"/>
      <c r="P747" s="931"/>
      <c r="Q747" s="931"/>
      <c r="R747" s="931"/>
    </row>
    <row r="748" spans="1:18" s="328" customFormat="1" ht="13.5" customHeight="1">
      <c r="A748" s="331"/>
      <c r="B748" s="331"/>
      <c r="C748" s="332"/>
      <c r="D748" s="331"/>
      <c r="E748" s="333"/>
      <c r="F748" s="271"/>
      <c r="G748" s="931"/>
      <c r="H748" s="931"/>
      <c r="I748" s="931"/>
      <c r="J748" s="931"/>
      <c r="K748" s="931"/>
      <c r="L748" s="931"/>
      <c r="M748" s="931"/>
      <c r="N748" s="931"/>
      <c r="O748" s="931"/>
      <c r="P748" s="931"/>
      <c r="Q748" s="931"/>
      <c r="R748" s="931"/>
    </row>
    <row r="749" spans="1:18" s="328" customFormat="1" ht="13.5" customHeight="1">
      <c r="A749" s="331"/>
      <c r="B749" s="331"/>
      <c r="C749" s="332"/>
      <c r="D749" s="331"/>
      <c r="E749" s="333"/>
      <c r="F749" s="271"/>
      <c r="G749" s="931"/>
      <c r="H749" s="931"/>
      <c r="I749" s="931"/>
      <c r="J749" s="931"/>
      <c r="K749" s="931"/>
      <c r="L749" s="931"/>
      <c r="M749" s="931"/>
      <c r="N749" s="931"/>
      <c r="O749" s="931"/>
      <c r="P749" s="931"/>
      <c r="Q749" s="931"/>
      <c r="R749" s="931"/>
    </row>
    <row r="750" spans="1:18" s="328" customFormat="1" ht="13.5" customHeight="1">
      <c r="A750" s="331"/>
      <c r="B750" s="331"/>
      <c r="C750" s="332"/>
      <c r="D750" s="331"/>
      <c r="E750" s="333"/>
      <c r="F750" s="271"/>
      <c r="G750" s="931"/>
      <c r="H750" s="931"/>
      <c r="I750" s="931"/>
      <c r="J750" s="931"/>
      <c r="K750" s="931"/>
      <c r="L750" s="931"/>
      <c r="M750" s="931"/>
      <c r="N750" s="931"/>
      <c r="O750" s="931"/>
      <c r="P750" s="931"/>
      <c r="Q750" s="931"/>
      <c r="R750" s="931"/>
    </row>
    <row r="751" spans="1:18" s="328" customFormat="1" ht="13.5" customHeight="1">
      <c r="A751" s="331"/>
      <c r="B751" s="331"/>
      <c r="C751" s="332"/>
      <c r="D751" s="331"/>
      <c r="E751" s="333"/>
      <c r="F751" s="271"/>
      <c r="G751" s="931"/>
      <c r="H751" s="931"/>
      <c r="I751" s="931"/>
      <c r="J751" s="931"/>
      <c r="K751" s="931"/>
      <c r="L751" s="931"/>
      <c r="M751" s="931"/>
      <c r="N751" s="931"/>
      <c r="O751" s="931"/>
      <c r="P751" s="931"/>
      <c r="Q751" s="931"/>
      <c r="R751" s="931"/>
    </row>
    <row r="752" spans="1:18" s="328" customFormat="1" ht="13.5" customHeight="1">
      <c r="A752" s="331"/>
      <c r="B752" s="331"/>
      <c r="C752" s="332"/>
      <c r="D752" s="331"/>
      <c r="E752" s="333"/>
      <c r="F752" s="271"/>
      <c r="G752" s="931"/>
      <c r="H752" s="931"/>
      <c r="I752" s="931"/>
      <c r="J752" s="931"/>
      <c r="K752" s="931"/>
      <c r="L752" s="931"/>
      <c r="M752" s="931"/>
      <c r="N752" s="931"/>
      <c r="O752" s="931"/>
      <c r="P752" s="931"/>
      <c r="Q752" s="931"/>
      <c r="R752" s="931"/>
    </row>
    <row r="753" spans="1:18" s="328" customFormat="1" ht="13.5" customHeight="1">
      <c r="A753" s="331"/>
      <c r="B753" s="331"/>
      <c r="C753" s="332"/>
      <c r="D753" s="331"/>
      <c r="E753" s="333"/>
      <c r="F753" s="271"/>
      <c r="G753" s="931"/>
      <c r="H753" s="931"/>
      <c r="I753" s="931"/>
      <c r="J753" s="931"/>
      <c r="K753" s="931"/>
      <c r="L753" s="931"/>
      <c r="M753" s="931"/>
      <c r="N753" s="931"/>
      <c r="O753" s="931"/>
      <c r="P753" s="931"/>
      <c r="Q753" s="931"/>
      <c r="R753" s="931"/>
    </row>
    <row r="754" spans="1:18" s="328" customFormat="1" ht="13.5" customHeight="1">
      <c r="A754" s="331"/>
      <c r="B754" s="331"/>
      <c r="C754" s="332"/>
      <c r="D754" s="331"/>
      <c r="E754" s="333"/>
      <c r="F754" s="271"/>
      <c r="G754" s="931"/>
      <c r="H754" s="931"/>
      <c r="I754" s="931"/>
      <c r="J754" s="931"/>
      <c r="K754" s="931"/>
      <c r="L754" s="931"/>
      <c r="M754" s="931"/>
      <c r="N754" s="931"/>
      <c r="O754" s="931"/>
      <c r="P754" s="931"/>
      <c r="Q754" s="931"/>
      <c r="R754" s="931"/>
    </row>
    <row r="755" spans="1:18" s="328" customFormat="1" ht="13.5" customHeight="1">
      <c r="A755" s="331"/>
      <c r="B755" s="331"/>
      <c r="C755" s="332"/>
      <c r="D755" s="331"/>
      <c r="E755" s="333"/>
      <c r="F755" s="271"/>
      <c r="G755" s="931"/>
      <c r="H755" s="931"/>
      <c r="I755" s="931"/>
      <c r="J755" s="931"/>
      <c r="K755" s="931"/>
      <c r="L755" s="931"/>
      <c r="M755" s="931"/>
      <c r="N755" s="931"/>
      <c r="O755" s="931"/>
      <c r="P755" s="931"/>
      <c r="Q755" s="931"/>
      <c r="R755" s="931"/>
    </row>
    <row r="756" spans="1:18" s="328" customFormat="1" ht="13.5" customHeight="1">
      <c r="A756" s="331"/>
      <c r="B756" s="331"/>
      <c r="C756" s="332"/>
      <c r="D756" s="331"/>
      <c r="E756" s="333"/>
      <c r="F756" s="271"/>
      <c r="G756" s="931"/>
      <c r="H756" s="931"/>
      <c r="I756" s="931"/>
      <c r="J756" s="931"/>
      <c r="K756" s="931"/>
      <c r="L756" s="931"/>
      <c r="M756" s="931"/>
      <c r="N756" s="931"/>
      <c r="O756" s="931"/>
      <c r="P756" s="931"/>
      <c r="Q756" s="931"/>
      <c r="R756" s="931"/>
    </row>
    <row r="757" spans="1:18" s="328" customFormat="1" ht="13.5" customHeight="1">
      <c r="A757" s="331"/>
      <c r="B757" s="331"/>
      <c r="C757" s="332"/>
      <c r="D757" s="331"/>
      <c r="E757" s="333"/>
      <c r="F757" s="271"/>
      <c r="G757" s="931"/>
      <c r="H757" s="931"/>
      <c r="I757" s="931"/>
      <c r="J757" s="931"/>
      <c r="K757" s="931"/>
      <c r="L757" s="931"/>
      <c r="M757" s="931"/>
      <c r="N757" s="931"/>
      <c r="O757" s="931"/>
      <c r="P757" s="931"/>
      <c r="Q757" s="931"/>
      <c r="R757" s="931"/>
    </row>
    <row r="758" spans="1:18" s="328" customFormat="1" ht="13.5" customHeight="1">
      <c r="A758" s="331"/>
      <c r="B758" s="331"/>
      <c r="C758" s="332"/>
      <c r="D758" s="331"/>
      <c r="E758" s="333"/>
      <c r="F758" s="271"/>
      <c r="G758" s="931"/>
      <c r="H758" s="931"/>
      <c r="I758" s="931"/>
      <c r="J758" s="931"/>
      <c r="K758" s="931"/>
      <c r="L758" s="931"/>
      <c r="M758" s="931"/>
      <c r="N758" s="931"/>
      <c r="O758" s="931"/>
      <c r="P758" s="931"/>
      <c r="Q758" s="931"/>
      <c r="R758" s="931"/>
    </row>
    <row r="759" spans="1:18" s="328" customFormat="1" ht="13.5" customHeight="1">
      <c r="A759" s="331"/>
      <c r="B759" s="331"/>
      <c r="C759" s="332"/>
      <c r="D759" s="331"/>
      <c r="E759" s="333"/>
      <c r="F759" s="271"/>
      <c r="G759" s="931"/>
      <c r="H759" s="931"/>
      <c r="I759" s="931"/>
      <c r="J759" s="931"/>
      <c r="K759" s="931"/>
      <c r="L759" s="931"/>
      <c r="M759" s="931"/>
      <c r="N759" s="931"/>
      <c r="O759" s="931"/>
      <c r="P759" s="931"/>
      <c r="Q759" s="931"/>
      <c r="R759" s="931"/>
    </row>
    <row r="760" spans="1:18" s="328" customFormat="1" ht="13.5" customHeight="1">
      <c r="A760" s="331"/>
      <c r="B760" s="331"/>
      <c r="C760" s="332"/>
      <c r="D760" s="331"/>
      <c r="E760" s="333"/>
      <c r="F760" s="271"/>
      <c r="G760" s="931"/>
      <c r="H760" s="931"/>
      <c r="I760" s="931"/>
      <c r="J760" s="931"/>
      <c r="K760" s="931"/>
      <c r="L760" s="931"/>
      <c r="M760" s="931"/>
      <c r="N760" s="931"/>
      <c r="O760" s="931"/>
      <c r="P760" s="931"/>
      <c r="Q760" s="931"/>
      <c r="R760" s="931"/>
    </row>
    <row r="761" spans="1:18" s="328" customFormat="1" ht="13.5" customHeight="1">
      <c r="A761" s="331"/>
      <c r="B761" s="331"/>
      <c r="C761" s="332"/>
      <c r="D761" s="331"/>
      <c r="E761" s="333"/>
      <c r="F761" s="271"/>
      <c r="G761" s="931"/>
      <c r="H761" s="931"/>
      <c r="I761" s="931"/>
      <c r="J761" s="931"/>
      <c r="K761" s="931"/>
      <c r="L761" s="931"/>
      <c r="M761" s="931"/>
      <c r="N761" s="931"/>
      <c r="O761" s="931"/>
      <c r="P761" s="931"/>
      <c r="Q761" s="931"/>
      <c r="R761" s="931"/>
    </row>
    <row r="762" spans="1:18" s="328" customFormat="1" ht="13.5" customHeight="1">
      <c r="A762" s="331"/>
      <c r="B762" s="331"/>
      <c r="C762" s="332"/>
      <c r="D762" s="331"/>
      <c r="E762" s="333"/>
      <c r="F762" s="271"/>
      <c r="G762" s="931"/>
      <c r="H762" s="931"/>
      <c r="I762" s="931"/>
      <c r="J762" s="931"/>
      <c r="K762" s="931"/>
      <c r="L762" s="931"/>
      <c r="M762" s="931"/>
      <c r="N762" s="931"/>
      <c r="O762" s="931"/>
      <c r="P762" s="931"/>
      <c r="Q762" s="931"/>
      <c r="R762" s="931"/>
    </row>
    <row r="763" spans="1:18" s="328" customFormat="1" ht="13.5" customHeight="1">
      <c r="A763" s="331"/>
      <c r="B763" s="331"/>
      <c r="C763" s="332"/>
      <c r="D763" s="331"/>
      <c r="E763" s="333"/>
      <c r="F763" s="271"/>
      <c r="G763" s="931"/>
      <c r="H763" s="931"/>
      <c r="I763" s="931"/>
      <c r="J763" s="931"/>
      <c r="K763" s="931"/>
      <c r="L763" s="931"/>
      <c r="M763" s="931"/>
      <c r="N763" s="931"/>
      <c r="O763" s="931"/>
      <c r="P763" s="931"/>
      <c r="Q763" s="931"/>
      <c r="R763" s="931"/>
    </row>
    <row r="764" spans="1:18" s="328" customFormat="1" ht="13.5" customHeight="1">
      <c r="A764" s="331"/>
      <c r="B764" s="331"/>
      <c r="C764" s="332"/>
      <c r="D764" s="331"/>
      <c r="E764" s="333"/>
      <c r="F764" s="271"/>
      <c r="G764" s="931"/>
      <c r="H764" s="931"/>
      <c r="I764" s="931"/>
      <c r="J764" s="931"/>
      <c r="K764" s="931"/>
      <c r="L764" s="931"/>
      <c r="M764" s="931"/>
      <c r="N764" s="931"/>
      <c r="O764" s="931"/>
      <c r="P764" s="931"/>
      <c r="Q764" s="931"/>
      <c r="R764" s="931"/>
    </row>
    <row r="765" spans="1:18" s="328" customFormat="1" ht="13.5" customHeight="1">
      <c r="A765" s="331"/>
      <c r="B765" s="331"/>
      <c r="C765" s="332"/>
      <c r="D765" s="331"/>
      <c r="E765" s="333"/>
      <c r="F765" s="271"/>
      <c r="G765" s="931"/>
      <c r="H765" s="931"/>
      <c r="I765" s="931"/>
      <c r="J765" s="931"/>
      <c r="K765" s="931"/>
      <c r="L765" s="931"/>
      <c r="M765" s="931"/>
      <c r="N765" s="931"/>
      <c r="O765" s="931"/>
      <c r="P765" s="931"/>
      <c r="Q765" s="931"/>
      <c r="R765" s="931"/>
    </row>
    <row r="766" spans="1:18" s="328" customFormat="1" ht="13.5" customHeight="1">
      <c r="A766" s="331"/>
      <c r="B766" s="331"/>
      <c r="C766" s="332"/>
      <c r="D766" s="331"/>
      <c r="E766" s="333"/>
      <c r="F766" s="271"/>
      <c r="G766" s="931"/>
      <c r="H766" s="931"/>
      <c r="I766" s="931"/>
      <c r="J766" s="931"/>
      <c r="K766" s="931"/>
      <c r="L766" s="931"/>
      <c r="M766" s="931"/>
      <c r="N766" s="931"/>
      <c r="O766" s="931"/>
      <c r="P766" s="931"/>
      <c r="Q766" s="931"/>
      <c r="R766" s="931"/>
    </row>
    <row r="767" spans="1:18" s="328" customFormat="1" ht="13.5" customHeight="1">
      <c r="A767" s="331"/>
      <c r="B767" s="331"/>
      <c r="C767" s="332"/>
      <c r="D767" s="331"/>
      <c r="E767" s="333"/>
      <c r="F767" s="271"/>
      <c r="G767" s="931"/>
      <c r="H767" s="931"/>
      <c r="I767" s="931"/>
      <c r="J767" s="931"/>
      <c r="K767" s="931"/>
      <c r="L767" s="931"/>
      <c r="M767" s="931"/>
      <c r="N767" s="931"/>
      <c r="O767" s="931"/>
      <c r="P767" s="931"/>
      <c r="Q767" s="931"/>
      <c r="R767" s="931"/>
    </row>
    <row r="768" spans="1:18" s="328" customFormat="1" ht="13.5" customHeight="1">
      <c r="A768" s="331"/>
      <c r="B768" s="331"/>
      <c r="C768" s="332"/>
      <c r="D768" s="331"/>
      <c r="E768" s="333"/>
      <c r="F768" s="271"/>
      <c r="G768" s="931"/>
      <c r="H768" s="931"/>
      <c r="I768" s="931"/>
      <c r="J768" s="931"/>
      <c r="K768" s="931"/>
      <c r="L768" s="931"/>
      <c r="M768" s="931"/>
      <c r="N768" s="931"/>
      <c r="O768" s="931"/>
      <c r="P768" s="931"/>
      <c r="Q768" s="931"/>
      <c r="R768" s="931"/>
    </row>
    <row r="769" spans="1:18" s="328" customFormat="1" ht="13.5" customHeight="1">
      <c r="A769" s="331"/>
      <c r="B769" s="331"/>
      <c r="C769" s="332"/>
      <c r="D769" s="331"/>
      <c r="E769" s="333"/>
      <c r="F769" s="271"/>
      <c r="G769" s="931"/>
      <c r="H769" s="931"/>
      <c r="I769" s="931"/>
      <c r="J769" s="931"/>
      <c r="K769" s="931"/>
      <c r="L769" s="931"/>
      <c r="M769" s="931"/>
      <c r="N769" s="931"/>
      <c r="O769" s="931"/>
      <c r="P769" s="931"/>
      <c r="Q769" s="931"/>
      <c r="R769" s="931"/>
    </row>
    <row r="770" spans="1:18" s="328" customFormat="1" ht="13.5" customHeight="1">
      <c r="A770" s="331"/>
      <c r="B770" s="331"/>
      <c r="C770" s="332"/>
      <c r="D770" s="331"/>
      <c r="E770" s="333"/>
      <c r="F770" s="271"/>
      <c r="G770" s="931"/>
      <c r="H770" s="931"/>
      <c r="I770" s="931"/>
      <c r="J770" s="931"/>
      <c r="K770" s="931"/>
      <c r="L770" s="931"/>
      <c r="M770" s="931"/>
      <c r="N770" s="931"/>
      <c r="O770" s="931"/>
      <c r="P770" s="931"/>
      <c r="Q770" s="931"/>
      <c r="R770" s="931"/>
    </row>
    <row r="771" spans="1:18" s="328" customFormat="1" ht="13.5" customHeight="1">
      <c r="A771" s="331"/>
      <c r="B771" s="331"/>
      <c r="C771" s="332"/>
      <c r="D771" s="331"/>
      <c r="E771" s="333"/>
      <c r="F771" s="271"/>
      <c r="G771" s="931"/>
      <c r="H771" s="931"/>
      <c r="I771" s="931"/>
      <c r="J771" s="931"/>
      <c r="K771" s="931"/>
      <c r="L771" s="931"/>
      <c r="M771" s="931"/>
      <c r="N771" s="931"/>
      <c r="O771" s="931"/>
      <c r="P771" s="931"/>
      <c r="Q771" s="931"/>
      <c r="R771" s="931"/>
    </row>
    <row r="772" spans="1:18" s="328" customFormat="1" ht="13.5" customHeight="1">
      <c r="A772" s="331"/>
      <c r="B772" s="331"/>
      <c r="C772" s="332"/>
      <c r="D772" s="331"/>
      <c r="E772" s="333"/>
      <c r="F772" s="271"/>
      <c r="G772" s="931"/>
      <c r="H772" s="931"/>
      <c r="I772" s="931"/>
      <c r="J772" s="931"/>
      <c r="K772" s="931"/>
      <c r="L772" s="931"/>
      <c r="M772" s="931"/>
      <c r="N772" s="931"/>
      <c r="O772" s="931"/>
      <c r="P772" s="931"/>
      <c r="Q772" s="931"/>
      <c r="R772" s="931"/>
    </row>
    <row r="773" spans="1:18" s="328" customFormat="1" ht="13.5" customHeight="1">
      <c r="A773" s="331"/>
      <c r="B773" s="331"/>
      <c r="C773" s="332"/>
      <c r="D773" s="331"/>
      <c r="E773" s="333"/>
      <c r="F773" s="271"/>
      <c r="G773" s="931"/>
      <c r="H773" s="931"/>
      <c r="I773" s="931"/>
      <c r="J773" s="931"/>
      <c r="K773" s="931"/>
      <c r="L773" s="931"/>
      <c r="M773" s="931"/>
      <c r="N773" s="931"/>
      <c r="O773" s="931"/>
      <c r="P773" s="931"/>
      <c r="Q773" s="931"/>
      <c r="R773" s="931"/>
    </row>
    <row r="774" spans="1:18" s="328" customFormat="1" ht="13.5" customHeight="1">
      <c r="A774" s="331"/>
      <c r="B774" s="331"/>
      <c r="C774" s="332"/>
      <c r="D774" s="331"/>
      <c r="E774" s="333"/>
      <c r="F774" s="271"/>
      <c r="G774" s="931"/>
      <c r="H774" s="931"/>
      <c r="I774" s="931"/>
      <c r="J774" s="931"/>
      <c r="K774" s="931"/>
      <c r="L774" s="931"/>
      <c r="M774" s="931"/>
      <c r="N774" s="931"/>
      <c r="O774" s="931"/>
      <c r="P774" s="931"/>
      <c r="Q774" s="931"/>
      <c r="R774" s="931"/>
    </row>
    <row r="775" spans="1:18" s="328" customFormat="1" ht="13.5" customHeight="1">
      <c r="A775" s="331"/>
      <c r="B775" s="331"/>
      <c r="C775" s="332"/>
      <c r="D775" s="331"/>
      <c r="E775" s="333"/>
      <c r="F775" s="271"/>
      <c r="G775" s="931"/>
      <c r="H775" s="931"/>
      <c r="I775" s="931"/>
      <c r="J775" s="931"/>
      <c r="K775" s="931"/>
      <c r="L775" s="931"/>
      <c r="M775" s="931"/>
      <c r="N775" s="931"/>
      <c r="O775" s="931"/>
      <c r="P775" s="931"/>
      <c r="Q775" s="931"/>
      <c r="R775" s="931"/>
    </row>
    <row r="776" spans="1:18" s="328" customFormat="1" ht="13.5" customHeight="1">
      <c r="A776" s="331"/>
      <c r="B776" s="331"/>
      <c r="C776" s="332"/>
      <c r="D776" s="331"/>
      <c r="E776" s="333"/>
      <c r="F776" s="271"/>
      <c r="G776" s="931"/>
      <c r="H776" s="931"/>
      <c r="I776" s="931"/>
      <c r="J776" s="931"/>
      <c r="K776" s="931"/>
      <c r="L776" s="931"/>
      <c r="M776" s="931"/>
      <c r="N776" s="931"/>
      <c r="O776" s="931"/>
      <c r="P776" s="931"/>
      <c r="Q776" s="931"/>
      <c r="R776" s="931"/>
    </row>
    <row r="777" spans="1:18" s="328" customFormat="1" ht="13.5" customHeight="1">
      <c r="A777" s="331"/>
      <c r="B777" s="331"/>
      <c r="C777" s="332"/>
      <c r="D777" s="331"/>
      <c r="E777" s="333"/>
      <c r="F777" s="271"/>
      <c r="G777" s="931"/>
      <c r="H777" s="931"/>
      <c r="I777" s="931"/>
      <c r="J777" s="931"/>
      <c r="K777" s="931"/>
      <c r="L777" s="931"/>
      <c r="M777" s="931"/>
      <c r="N777" s="931"/>
      <c r="O777" s="931"/>
      <c r="P777" s="931"/>
      <c r="Q777" s="931"/>
      <c r="R777" s="931"/>
    </row>
    <row r="778" spans="1:18" s="328" customFormat="1" ht="13.5" customHeight="1">
      <c r="A778" s="331"/>
      <c r="B778" s="331"/>
      <c r="C778" s="332"/>
      <c r="D778" s="331"/>
      <c r="E778" s="333"/>
      <c r="F778" s="271"/>
      <c r="G778" s="931"/>
      <c r="H778" s="931"/>
      <c r="I778" s="931"/>
      <c r="J778" s="931"/>
      <c r="K778" s="931"/>
      <c r="L778" s="931"/>
      <c r="M778" s="931"/>
      <c r="N778" s="931"/>
      <c r="O778" s="931"/>
      <c r="P778" s="931"/>
      <c r="Q778" s="931"/>
      <c r="R778" s="931"/>
    </row>
    <row r="779" spans="1:18" s="328" customFormat="1" ht="13.5" customHeight="1">
      <c r="A779" s="331"/>
      <c r="B779" s="331"/>
      <c r="C779" s="332"/>
      <c r="D779" s="331"/>
      <c r="E779" s="333"/>
      <c r="F779" s="271"/>
      <c r="G779" s="931"/>
      <c r="H779" s="931"/>
      <c r="I779" s="931"/>
      <c r="J779" s="931"/>
      <c r="K779" s="931"/>
      <c r="L779" s="931"/>
      <c r="M779" s="931"/>
      <c r="N779" s="931"/>
      <c r="O779" s="931"/>
      <c r="P779" s="931"/>
      <c r="Q779" s="931"/>
      <c r="R779" s="931"/>
    </row>
    <row r="780" spans="1:18" s="328" customFormat="1" ht="13.5" customHeight="1">
      <c r="A780" s="331"/>
      <c r="B780" s="331"/>
      <c r="C780" s="332"/>
      <c r="D780" s="331"/>
      <c r="E780" s="333"/>
      <c r="F780" s="271"/>
      <c r="G780" s="931"/>
      <c r="H780" s="931"/>
      <c r="I780" s="931"/>
      <c r="J780" s="931"/>
      <c r="K780" s="931"/>
      <c r="L780" s="931"/>
      <c r="M780" s="931"/>
      <c r="N780" s="931"/>
      <c r="O780" s="931"/>
      <c r="P780" s="931"/>
      <c r="Q780" s="931"/>
      <c r="R780" s="931"/>
    </row>
    <row r="781" spans="1:18" s="328" customFormat="1" ht="13.5" customHeight="1">
      <c r="A781" s="331"/>
      <c r="B781" s="331"/>
      <c r="C781" s="332"/>
      <c r="D781" s="331"/>
      <c r="E781" s="333"/>
      <c r="F781" s="271"/>
      <c r="G781" s="931"/>
      <c r="H781" s="931"/>
      <c r="I781" s="931"/>
      <c r="J781" s="931"/>
      <c r="K781" s="931"/>
      <c r="L781" s="931"/>
      <c r="M781" s="931"/>
      <c r="N781" s="931"/>
      <c r="O781" s="931"/>
      <c r="P781" s="931"/>
      <c r="Q781" s="931"/>
      <c r="R781" s="931"/>
    </row>
    <row r="782" spans="1:18" s="328" customFormat="1" ht="13.5" customHeight="1">
      <c r="A782" s="331"/>
      <c r="B782" s="331"/>
      <c r="C782" s="332"/>
      <c r="D782" s="331"/>
      <c r="E782" s="333"/>
      <c r="F782" s="271"/>
      <c r="G782" s="931"/>
      <c r="H782" s="931"/>
      <c r="I782" s="931"/>
      <c r="J782" s="931"/>
      <c r="K782" s="931"/>
      <c r="L782" s="931"/>
      <c r="M782" s="931"/>
      <c r="N782" s="931"/>
      <c r="O782" s="931"/>
      <c r="P782" s="931"/>
      <c r="Q782" s="931"/>
      <c r="R782" s="931"/>
    </row>
    <row r="783" spans="1:18" s="328" customFormat="1" ht="13.5" customHeight="1">
      <c r="A783" s="331"/>
      <c r="B783" s="331"/>
      <c r="C783" s="332"/>
      <c r="D783" s="331"/>
      <c r="E783" s="333"/>
      <c r="F783" s="271"/>
      <c r="G783" s="931"/>
      <c r="H783" s="931"/>
      <c r="I783" s="931"/>
      <c r="J783" s="931"/>
      <c r="K783" s="931"/>
      <c r="L783" s="931"/>
      <c r="M783" s="931"/>
      <c r="N783" s="931"/>
      <c r="O783" s="931"/>
      <c r="P783" s="931"/>
      <c r="Q783" s="931"/>
      <c r="R783" s="931"/>
    </row>
    <row r="784" spans="1:18" s="328" customFormat="1" ht="13.5" customHeight="1">
      <c r="A784" s="331"/>
      <c r="B784" s="331"/>
      <c r="C784" s="332"/>
      <c r="D784" s="331"/>
      <c r="E784" s="333"/>
      <c r="F784" s="271"/>
      <c r="G784" s="931"/>
      <c r="H784" s="931"/>
      <c r="I784" s="931"/>
      <c r="J784" s="931"/>
      <c r="K784" s="931"/>
      <c r="L784" s="931"/>
      <c r="M784" s="931"/>
      <c r="N784" s="931"/>
      <c r="O784" s="931"/>
      <c r="P784" s="931"/>
      <c r="Q784" s="931"/>
      <c r="R784" s="931"/>
    </row>
    <row r="785" spans="1:18" s="328" customFormat="1" ht="13.5" customHeight="1">
      <c r="A785" s="331"/>
      <c r="B785" s="331"/>
      <c r="C785" s="332"/>
      <c r="D785" s="331"/>
      <c r="E785" s="333"/>
      <c r="F785" s="271"/>
      <c r="G785" s="931"/>
      <c r="H785" s="931"/>
      <c r="I785" s="931"/>
      <c r="J785" s="931"/>
      <c r="K785" s="931"/>
      <c r="L785" s="931"/>
      <c r="M785" s="931"/>
      <c r="N785" s="931"/>
      <c r="O785" s="931"/>
      <c r="P785" s="931"/>
      <c r="Q785" s="931"/>
      <c r="R785" s="931"/>
    </row>
    <row r="786" spans="1:18" s="328" customFormat="1" ht="13.5" customHeight="1">
      <c r="A786" s="331"/>
      <c r="B786" s="331"/>
      <c r="C786" s="332"/>
      <c r="D786" s="331"/>
      <c r="E786" s="333"/>
      <c r="F786" s="271"/>
      <c r="G786" s="931"/>
      <c r="H786" s="931"/>
      <c r="I786" s="931"/>
      <c r="J786" s="931"/>
      <c r="K786" s="931"/>
      <c r="L786" s="931"/>
      <c r="M786" s="931"/>
      <c r="N786" s="931"/>
      <c r="O786" s="931"/>
      <c r="P786" s="931"/>
      <c r="Q786" s="931"/>
      <c r="R786" s="931"/>
    </row>
    <row r="787" spans="1:18" s="328" customFormat="1" ht="13.5" customHeight="1">
      <c r="A787" s="331"/>
      <c r="B787" s="331"/>
      <c r="C787" s="332"/>
      <c r="D787" s="331"/>
      <c r="E787" s="333"/>
      <c r="F787" s="271"/>
      <c r="G787" s="931"/>
      <c r="H787" s="931"/>
      <c r="I787" s="931"/>
      <c r="J787" s="931"/>
      <c r="K787" s="931"/>
      <c r="L787" s="931"/>
      <c r="M787" s="931"/>
      <c r="N787" s="931"/>
      <c r="O787" s="931"/>
      <c r="P787" s="931"/>
      <c r="Q787" s="931"/>
      <c r="R787" s="931"/>
    </row>
    <row r="788" spans="1:18" s="328" customFormat="1" ht="13.5" customHeight="1">
      <c r="A788" s="331"/>
      <c r="B788" s="331"/>
      <c r="C788" s="332"/>
      <c r="D788" s="331"/>
      <c r="E788" s="333"/>
      <c r="F788" s="271"/>
      <c r="G788" s="931"/>
      <c r="H788" s="931"/>
      <c r="I788" s="931"/>
      <c r="J788" s="931"/>
      <c r="K788" s="931"/>
      <c r="L788" s="931"/>
      <c r="M788" s="931"/>
      <c r="N788" s="931"/>
      <c r="O788" s="931"/>
      <c r="P788" s="931"/>
      <c r="Q788" s="931"/>
      <c r="R788" s="931"/>
    </row>
    <row r="789" spans="1:18" s="328" customFormat="1" ht="13.5" customHeight="1">
      <c r="A789" s="331"/>
      <c r="B789" s="331"/>
      <c r="C789" s="332"/>
      <c r="D789" s="331"/>
      <c r="E789" s="333"/>
      <c r="F789" s="271"/>
      <c r="G789" s="931"/>
      <c r="H789" s="931"/>
      <c r="I789" s="931"/>
      <c r="J789" s="931"/>
      <c r="K789" s="931"/>
      <c r="L789" s="931"/>
      <c r="M789" s="931"/>
      <c r="N789" s="931"/>
      <c r="O789" s="931"/>
      <c r="P789" s="931"/>
      <c r="Q789" s="931"/>
      <c r="R789" s="931"/>
    </row>
    <row r="790" spans="1:18" s="328" customFormat="1" ht="13.5" customHeight="1">
      <c r="A790" s="331"/>
      <c r="B790" s="331"/>
      <c r="C790" s="332"/>
      <c r="D790" s="331"/>
      <c r="E790" s="333"/>
      <c r="F790" s="271"/>
      <c r="G790" s="931"/>
      <c r="H790" s="931"/>
      <c r="I790" s="931"/>
      <c r="J790" s="931"/>
      <c r="K790" s="931"/>
      <c r="L790" s="931"/>
      <c r="M790" s="931"/>
      <c r="N790" s="931"/>
      <c r="O790" s="931"/>
      <c r="P790" s="931"/>
      <c r="Q790" s="931"/>
      <c r="R790" s="931"/>
    </row>
    <row r="791" spans="1:18" s="328" customFormat="1" ht="13.5" customHeight="1">
      <c r="A791" s="331"/>
      <c r="B791" s="331"/>
      <c r="C791" s="332"/>
      <c r="D791" s="331"/>
      <c r="E791" s="333"/>
      <c r="F791" s="271"/>
      <c r="G791" s="931"/>
      <c r="H791" s="931"/>
      <c r="I791" s="931"/>
      <c r="J791" s="931"/>
      <c r="K791" s="931"/>
      <c r="L791" s="931"/>
      <c r="M791" s="931"/>
      <c r="N791" s="931"/>
      <c r="O791" s="931"/>
      <c r="P791" s="931"/>
      <c r="Q791" s="931"/>
      <c r="R791" s="931"/>
    </row>
    <row r="792" spans="1:18" s="328" customFormat="1" ht="13.5" customHeight="1">
      <c r="A792" s="331"/>
      <c r="B792" s="331"/>
      <c r="C792" s="332"/>
      <c r="D792" s="331"/>
      <c r="E792" s="333"/>
      <c r="F792" s="271"/>
      <c r="G792" s="931"/>
      <c r="H792" s="931"/>
      <c r="I792" s="931"/>
      <c r="J792" s="931"/>
      <c r="K792" s="931"/>
      <c r="L792" s="931"/>
      <c r="M792" s="931"/>
      <c r="N792" s="931"/>
      <c r="O792" s="931"/>
      <c r="P792" s="931"/>
      <c r="Q792" s="931"/>
      <c r="R792" s="931"/>
    </row>
    <row r="793" spans="1:18" s="328" customFormat="1" ht="13.5" customHeight="1">
      <c r="A793" s="331"/>
      <c r="B793" s="331"/>
      <c r="C793" s="332"/>
      <c r="D793" s="331"/>
      <c r="E793" s="333"/>
      <c r="F793" s="271"/>
      <c r="G793" s="931"/>
      <c r="H793" s="931"/>
      <c r="I793" s="931"/>
      <c r="J793" s="931"/>
      <c r="K793" s="931"/>
      <c r="L793" s="931"/>
      <c r="M793" s="931"/>
      <c r="N793" s="931"/>
      <c r="O793" s="931"/>
      <c r="P793" s="931"/>
      <c r="Q793" s="931"/>
      <c r="R793" s="931"/>
    </row>
    <row r="794" spans="1:18" s="328" customFormat="1" ht="13.5" customHeight="1">
      <c r="A794" s="331"/>
      <c r="B794" s="331"/>
      <c r="C794" s="332"/>
      <c r="D794" s="331"/>
      <c r="E794" s="333"/>
      <c r="F794" s="271"/>
      <c r="G794" s="931"/>
      <c r="H794" s="931"/>
      <c r="I794" s="931"/>
      <c r="J794" s="931"/>
      <c r="K794" s="931"/>
      <c r="L794" s="931"/>
      <c r="M794" s="931"/>
      <c r="N794" s="931"/>
      <c r="O794" s="931"/>
      <c r="P794" s="931"/>
      <c r="Q794" s="931"/>
      <c r="R794" s="931"/>
    </row>
    <row r="795" spans="1:18" s="328" customFormat="1" ht="13.5" customHeight="1">
      <c r="A795" s="331"/>
      <c r="B795" s="331"/>
      <c r="C795" s="332"/>
      <c r="D795" s="331"/>
      <c r="E795" s="333"/>
      <c r="F795" s="271"/>
      <c r="G795" s="931"/>
      <c r="H795" s="931"/>
      <c r="I795" s="931"/>
      <c r="J795" s="931"/>
      <c r="K795" s="931"/>
      <c r="L795" s="931"/>
      <c r="M795" s="931"/>
      <c r="N795" s="931"/>
      <c r="O795" s="931"/>
      <c r="P795" s="931"/>
      <c r="Q795" s="931"/>
      <c r="R795" s="931"/>
    </row>
    <row r="796" spans="1:18" s="328" customFormat="1" ht="13.5" customHeight="1">
      <c r="A796" s="331"/>
      <c r="B796" s="331"/>
      <c r="C796" s="332"/>
      <c r="D796" s="331"/>
      <c r="E796" s="333"/>
      <c r="F796" s="271"/>
      <c r="G796" s="931"/>
      <c r="H796" s="931"/>
      <c r="I796" s="931"/>
      <c r="J796" s="931"/>
      <c r="K796" s="931"/>
      <c r="L796" s="931"/>
      <c r="M796" s="931"/>
      <c r="N796" s="931"/>
      <c r="O796" s="931"/>
      <c r="P796" s="931"/>
      <c r="Q796" s="931"/>
      <c r="R796" s="931"/>
    </row>
    <row r="797" spans="1:18" s="328" customFormat="1" ht="13.5" customHeight="1">
      <c r="A797" s="331"/>
      <c r="B797" s="331"/>
      <c r="C797" s="332"/>
      <c r="D797" s="331"/>
      <c r="E797" s="333"/>
      <c r="F797" s="271"/>
      <c r="G797" s="931"/>
      <c r="H797" s="931"/>
      <c r="I797" s="931"/>
      <c r="J797" s="931"/>
      <c r="K797" s="931"/>
      <c r="L797" s="931"/>
      <c r="M797" s="931"/>
      <c r="N797" s="931"/>
      <c r="O797" s="931"/>
      <c r="P797" s="931"/>
      <c r="Q797" s="931"/>
      <c r="R797" s="931"/>
    </row>
    <row r="798" spans="1:18" s="328" customFormat="1" ht="13.5" customHeight="1">
      <c r="A798" s="331"/>
      <c r="B798" s="331"/>
      <c r="C798" s="332"/>
      <c r="D798" s="331"/>
      <c r="E798" s="333"/>
      <c r="F798" s="271"/>
      <c r="G798" s="931"/>
      <c r="H798" s="931"/>
      <c r="I798" s="931"/>
      <c r="J798" s="931"/>
      <c r="K798" s="931"/>
      <c r="L798" s="931"/>
      <c r="M798" s="931"/>
      <c r="N798" s="931"/>
      <c r="O798" s="931"/>
      <c r="P798" s="931"/>
      <c r="Q798" s="931"/>
      <c r="R798" s="931"/>
    </row>
    <row r="799" spans="1:18" s="328" customFormat="1" ht="13.5" customHeight="1">
      <c r="A799" s="331"/>
      <c r="B799" s="331"/>
      <c r="C799" s="332"/>
      <c r="D799" s="331"/>
      <c r="E799" s="333"/>
      <c r="F799" s="271"/>
      <c r="G799" s="931"/>
      <c r="H799" s="931"/>
      <c r="I799" s="931"/>
      <c r="J799" s="931"/>
      <c r="K799" s="931"/>
      <c r="L799" s="931"/>
      <c r="M799" s="931"/>
      <c r="N799" s="931"/>
      <c r="O799" s="931"/>
      <c r="P799" s="931"/>
      <c r="Q799" s="931"/>
      <c r="R799" s="931"/>
    </row>
    <row r="800" spans="1:18" s="328" customFormat="1" ht="13.5" customHeight="1">
      <c r="A800" s="331"/>
      <c r="B800" s="331"/>
      <c r="C800" s="332"/>
      <c r="D800" s="331"/>
      <c r="E800" s="333"/>
      <c r="F800" s="271"/>
      <c r="G800" s="931"/>
      <c r="H800" s="931"/>
      <c r="I800" s="931"/>
      <c r="J800" s="931"/>
      <c r="K800" s="931"/>
      <c r="L800" s="931"/>
      <c r="M800" s="931"/>
      <c r="N800" s="931"/>
      <c r="O800" s="931"/>
      <c r="P800" s="931"/>
      <c r="Q800" s="931"/>
      <c r="R800" s="931"/>
    </row>
    <row r="801" spans="1:18" s="328" customFormat="1" ht="13.5" customHeight="1">
      <c r="A801" s="331"/>
      <c r="B801" s="331"/>
      <c r="C801" s="332"/>
      <c r="D801" s="331"/>
      <c r="E801" s="333"/>
      <c r="F801" s="271"/>
      <c r="G801" s="931"/>
      <c r="H801" s="931"/>
      <c r="I801" s="931"/>
      <c r="J801" s="931"/>
      <c r="K801" s="931"/>
      <c r="L801" s="931"/>
      <c r="M801" s="931"/>
      <c r="N801" s="931"/>
      <c r="O801" s="931"/>
      <c r="P801" s="931"/>
      <c r="Q801" s="931"/>
      <c r="R801" s="931"/>
    </row>
    <row r="802" spans="1:18" s="328" customFormat="1" ht="13.5" customHeight="1">
      <c r="A802" s="331"/>
      <c r="B802" s="331"/>
      <c r="C802" s="332"/>
      <c r="D802" s="331"/>
      <c r="E802" s="333"/>
      <c r="F802" s="271"/>
      <c r="G802" s="931"/>
      <c r="H802" s="931"/>
      <c r="I802" s="931"/>
      <c r="J802" s="931"/>
      <c r="K802" s="931"/>
      <c r="L802" s="931"/>
      <c r="M802" s="931"/>
      <c r="N802" s="931"/>
      <c r="O802" s="931"/>
      <c r="P802" s="931"/>
      <c r="Q802" s="931"/>
      <c r="R802" s="931"/>
    </row>
    <row r="803" spans="1:18" s="328" customFormat="1" ht="13.5" customHeight="1">
      <c r="A803" s="331"/>
      <c r="B803" s="331"/>
      <c r="C803" s="332"/>
      <c r="D803" s="331"/>
      <c r="E803" s="333"/>
      <c r="F803" s="271"/>
      <c r="G803" s="931"/>
      <c r="H803" s="931"/>
      <c r="I803" s="931"/>
      <c r="J803" s="931"/>
      <c r="K803" s="931"/>
      <c r="L803" s="931"/>
      <c r="M803" s="931"/>
      <c r="N803" s="931"/>
      <c r="O803" s="931"/>
      <c r="P803" s="931"/>
      <c r="Q803" s="931"/>
      <c r="R803" s="931"/>
    </row>
    <row r="804" spans="1:18" s="328" customFormat="1" ht="13.5" customHeight="1">
      <c r="A804" s="331"/>
      <c r="B804" s="331"/>
      <c r="C804" s="332"/>
      <c r="D804" s="331"/>
      <c r="E804" s="333"/>
      <c r="F804" s="271"/>
      <c r="G804" s="931"/>
      <c r="H804" s="931"/>
      <c r="I804" s="931"/>
      <c r="J804" s="931"/>
      <c r="K804" s="931"/>
      <c r="L804" s="931"/>
      <c r="M804" s="931"/>
      <c r="N804" s="931"/>
      <c r="O804" s="931"/>
      <c r="P804" s="931"/>
      <c r="Q804" s="931"/>
      <c r="R804" s="931"/>
    </row>
    <row r="805" spans="1:18" s="328" customFormat="1" ht="13.5" customHeight="1">
      <c r="A805" s="331"/>
      <c r="B805" s="331"/>
      <c r="C805" s="332"/>
      <c r="D805" s="331"/>
      <c r="E805" s="333"/>
      <c r="F805" s="271"/>
      <c r="G805" s="931"/>
      <c r="H805" s="931"/>
      <c r="I805" s="931"/>
      <c r="J805" s="931"/>
      <c r="K805" s="931"/>
      <c r="L805" s="931"/>
      <c r="M805" s="931"/>
      <c r="N805" s="931"/>
      <c r="O805" s="931"/>
      <c r="P805" s="931"/>
      <c r="Q805" s="931"/>
      <c r="R805" s="931"/>
    </row>
    <row r="806" spans="1:18" s="328" customFormat="1" ht="13.5" customHeight="1">
      <c r="A806" s="331"/>
      <c r="B806" s="331"/>
      <c r="C806" s="332"/>
      <c r="D806" s="331"/>
      <c r="E806" s="333"/>
      <c r="F806" s="271"/>
      <c r="G806" s="931"/>
      <c r="H806" s="931"/>
      <c r="I806" s="931"/>
      <c r="J806" s="931"/>
      <c r="K806" s="931"/>
      <c r="L806" s="931"/>
      <c r="M806" s="931"/>
      <c r="N806" s="931"/>
      <c r="O806" s="931"/>
      <c r="P806" s="931"/>
      <c r="Q806" s="931"/>
      <c r="R806" s="931"/>
    </row>
    <row r="807" spans="1:18" s="328" customFormat="1" ht="13.5" customHeight="1">
      <c r="A807" s="331"/>
      <c r="B807" s="331"/>
      <c r="C807" s="332"/>
      <c r="D807" s="331"/>
      <c r="E807" s="333"/>
      <c r="F807" s="271"/>
      <c r="G807" s="931"/>
      <c r="H807" s="931"/>
      <c r="I807" s="931"/>
      <c r="J807" s="931"/>
      <c r="K807" s="931"/>
      <c r="L807" s="931"/>
      <c r="M807" s="931"/>
      <c r="N807" s="931"/>
      <c r="O807" s="931"/>
      <c r="P807" s="931"/>
      <c r="Q807" s="931"/>
      <c r="R807" s="931"/>
    </row>
    <row r="808" spans="1:18" s="328" customFormat="1" ht="13.5" customHeight="1">
      <c r="A808" s="331"/>
      <c r="B808" s="331"/>
      <c r="C808" s="332"/>
      <c r="D808" s="331"/>
      <c r="E808" s="333"/>
      <c r="F808" s="271"/>
      <c r="G808" s="931"/>
      <c r="H808" s="931"/>
      <c r="I808" s="931"/>
      <c r="J808" s="931"/>
      <c r="K808" s="931"/>
      <c r="L808" s="931"/>
      <c r="M808" s="931"/>
      <c r="N808" s="931"/>
      <c r="O808" s="931"/>
      <c r="P808" s="931"/>
      <c r="Q808" s="931"/>
      <c r="R808" s="931"/>
    </row>
    <row r="809" spans="1:18" s="328" customFormat="1" ht="13.5" customHeight="1">
      <c r="A809" s="331"/>
      <c r="B809" s="331"/>
      <c r="C809" s="332"/>
      <c r="D809" s="331"/>
      <c r="E809" s="333"/>
      <c r="F809" s="271"/>
      <c r="G809" s="931"/>
      <c r="H809" s="931"/>
      <c r="I809" s="931"/>
      <c r="J809" s="931"/>
      <c r="K809" s="931"/>
      <c r="L809" s="931"/>
      <c r="M809" s="931"/>
      <c r="N809" s="931"/>
      <c r="O809" s="931"/>
      <c r="P809" s="931"/>
      <c r="Q809" s="931"/>
      <c r="R809" s="931"/>
    </row>
    <row r="810" spans="1:18" s="328" customFormat="1" ht="13.5" customHeight="1">
      <c r="A810" s="331"/>
      <c r="B810" s="331"/>
      <c r="C810" s="332"/>
      <c r="D810" s="331"/>
      <c r="E810" s="333"/>
      <c r="F810" s="271"/>
      <c r="G810" s="931"/>
      <c r="H810" s="931"/>
      <c r="I810" s="931"/>
      <c r="J810" s="931"/>
      <c r="K810" s="931"/>
      <c r="L810" s="931"/>
      <c r="M810" s="931"/>
      <c r="N810" s="931"/>
      <c r="O810" s="931"/>
      <c r="P810" s="931"/>
      <c r="Q810" s="931"/>
      <c r="R810" s="931"/>
    </row>
    <row r="811" spans="1:18" s="328" customFormat="1" ht="13.5" customHeight="1">
      <c r="A811" s="331"/>
      <c r="B811" s="331"/>
      <c r="C811" s="332"/>
      <c r="D811" s="331"/>
      <c r="E811" s="333"/>
      <c r="F811" s="271"/>
      <c r="G811" s="931"/>
      <c r="H811" s="931"/>
      <c r="I811" s="931"/>
      <c r="J811" s="931"/>
      <c r="K811" s="931"/>
      <c r="L811" s="931"/>
      <c r="M811" s="931"/>
      <c r="N811" s="931"/>
      <c r="O811" s="931"/>
      <c r="P811" s="931"/>
      <c r="Q811" s="931"/>
      <c r="R811" s="931"/>
    </row>
    <row r="812" spans="1:18" s="328" customFormat="1" ht="13.5" customHeight="1">
      <c r="A812" s="331"/>
      <c r="B812" s="331"/>
      <c r="C812" s="332"/>
      <c r="D812" s="331"/>
      <c r="E812" s="333"/>
      <c r="F812" s="271"/>
      <c r="G812" s="931"/>
      <c r="H812" s="931"/>
      <c r="I812" s="931"/>
      <c r="J812" s="931"/>
      <c r="K812" s="931"/>
      <c r="L812" s="931"/>
      <c r="M812" s="931"/>
      <c r="N812" s="931"/>
      <c r="O812" s="931"/>
      <c r="P812" s="931"/>
      <c r="Q812" s="931"/>
      <c r="R812" s="931"/>
    </row>
    <row r="813" spans="1:18" s="328" customFormat="1" ht="13.5" customHeight="1">
      <c r="A813" s="331"/>
      <c r="B813" s="331"/>
      <c r="C813" s="332"/>
      <c r="D813" s="331"/>
      <c r="E813" s="333"/>
      <c r="F813" s="271"/>
      <c r="G813" s="931"/>
      <c r="H813" s="931"/>
      <c r="I813" s="931"/>
      <c r="J813" s="931"/>
      <c r="K813" s="931"/>
      <c r="L813" s="931"/>
      <c r="M813" s="931"/>
      <c r="N813" s="931"/>
      <c r="O813" s="931"/>
      <c r="P813" s="931"/>
      <c r="Q813" s="931"/>
      <c r="R813" s="931"/>
    </row>
    <row r="814" spans="1:18" s="328" customFormat="1" ht="13.5" customHeight="1">
      <c r="A814" s="331"/>
      <c r="B814" s="331"/>
      <c r="C814" s="332"/>
      <c r="D814" s="331"/>
      <c r="E814" s="333"/>
      <c r="F814" s="271"/>
      <c r="G814" s="931"/>
      <c r="H814" s="931"/>
      <c r="I814" s="931"/>
      <c r="J814" s="931"/>
      <c r="K814" s="931"/>
      <c r="L814" s="931"/>
      <c r="M814" s="931"/>
      <c r="N814" s="931"/>
      <c r="O814" s="931"/>
      <c r="P814" s="931"/>
      <c r="Q814" s="931"/>
      <c r="R814" s="931"/>
    </row>
    <row r="815" spans="1:18" s="328" customFormat="1" ht="13.5" customHeight="1">
      <c r="A815" s="331"/>
      <c r="B815" s="331"/>
      <c r="C815" s="332"/>
      <c r="D815" s="331"/>
      <c r="E815" s="333"/>
      <c r="F815" s="271"/>
      <c r="G815" s="931"/>
      <c r="H815" s="931"/>
      <c r="I815" s="931"/>
      <c r="J815" s="931"/>
      <c r="K815" s="931"/>
      <c r="L815" s="931"/>
      <c r="M815" s="931"/>
      <c r="N815" s="931"/>
      <c r="O815" s="931"/>
      <c r="P815" s="931"/>
      <c r="Q815" s="931"/>
      <c r="R815" s="931"/>
    </row>
    <row r="816" spans="1:18" s="328" customFormat="1" ht="13.5" customHeight="1">
      <c r="A816" s="331"/>
      <c r="B816" s="331"/>
      <c r="C816" s="332"/>
      <c r="D816" s="331"/>
      <c r="E816" s="333"/>
      <c r="F816" s="271"/>
      <c r="G816" s="931"/>
      <c r="H816" s="931"/>
      <c r="I816" s="931"/>
      <c r="J816" s="931"/>
      <c r="K816" s="931"/>
      <c r="L816" s="931"/>
      <c r="M816" s="931"/>
      <c r="N816" s="931"/>
      <c r="O816" s="931"/>
      <c r="P816" s="931"/>
      <c r="Q816" s="931"/>
      <c r="R816" s="931"/>
    </row>
    <row r="817" spans="1:18" s="328" customFormat="1" ht="13.5" customHeight="1">
      <c r="A817" s="331"/>
      <c r="B817" s="331"/>
      <c r="C817" s="332"/>
      <c r="D817" s="331"/>
      <c r="E817" s="333"/>
      <c r="F817" s="271"/>
      <c r="G817" s="931"/>
      <c r="H817" s="931"/>
      <c r="I817" s="931"/>
      <c r="J817" s="931"/>
      <c r="K817" s="931"/>
      <c r="L817" s="931"/>
      <c r="M817" s="931"/>
      <c r="N817" s="931"/>
      <c r="O817" s="931"/>
      <c r="P817" s="931"/>
      <c r="Q817" s="931"/>
      <c r="R817" s="931"/>
    </row>
    <row r="818" spans="1:18" s="328" customFormat="1" ht="13.5" customHeight="1">
      <c r="A818" s="331"/>
      <c r="B818" s="331"/>
      <c r="C818" s="332"/>
      <c r="D818" s="331"/>
      <c r="E818" s="333"/>
      <c r="F818" s="271"/>
      <c r="G818" s="931"/>
      <c r="H818" s="931"/>
      <c r="I818" s="931"/>
      <c r="J818" s="931"/>
      <c r="K818" s="931"/>
      <c r="L818" s="931"/>
      <c r="M818" s="931"/>
      <c r="N818" s="931"/>
      <c r="O818" s="931"/>
      <c r="P818" s="931"/>
      <c r="Q818" s="931"/>
      <c r="R818" s="931"/>
    </row>
    <row r="819" spans="1:18" s="328" customFormat="1" ht="13.5" customHeight="1">
      <c r="A819" s="331"/>
      <c r="B819" s="331"/>
      <c r="C819" s="332"/>
      <c r="D819" s="331"/>
      <c r="E819" s="333"/>
      <c r="F819" s="271"/>
      <c r="G819" s="931"/>
      <c r="H819" s="931"/>
      <c r="I819" s="931"/>
      <c r="J819" s="931"/>
      <c r="K819" s="931"/>
      <c r="L819" s="931"/>
      <c r="M819" s="931"/>
      <c r="N819" s="931"/>
      <c r="O819" s="931"/>
      <c r="P819" s="931"/>
      <c r="Q819" s="931"/>
      <c r="R819" s="931"/>
    </row>
    <row r="820" spans="1:18" s="328" customFormat="1" ht="13.5" customHeight="1">
      <c r="A820" s="331"/>
      <c r="B820" s="331"/>
      <c r="C820" s="332"/>
      <c r="D820" s="331"/>
      <c r="E820" s="333"/>
      <c r="F820" s="271"/>
      <c r="G820" s="931"/>
      <c r="H820" s="931"/>
      <c r="I820" s="931"/>
      <c r="J820" s="931"/>
      <c r="K820" s="931"/>
      <c r="L820" s="931"/>
      <c r="M820" s="931"/>
      <c r="N820" s="931"/>
      <c r="O820" s="931"/>
      <c r="P820" s="931"/>
      <c r="Q820" s="931"/>
      <c r="R820" s="931"/>
    </row>
    <row r="821" spans="1:18" s="328" customFormat="1" ht="13.5" customHeight="1">
      <c r="A821" s="331"/>
      <c r="B821" s="331"/>
      <c r="C821" s="332"/>
      <c r="D821" s="331"/>
      <c r="E821" s="333"/>
      <c r="F821" s="271"/>
      <c r="G821" s="931"/>
      <c r="H821" s="931"/>
      <c r="I821" s="931"/>
      <c r="J821" s="931"/>
      <c r="K821" s="931"/>
      <c r="L821" s="931"/>
      <c r="M821" s="931"/>
      <c r="N821" s="931"/>
      <c r="O821" s="931"/>
      <c r="P821" s="931"/>
      <c r="Q821" s="931"/>
      <c r="R821" s="931"/>
    </row>
    <row r="822" spans="1:18" s="328" customFormat="1" ht="13.5" customHeight="1">
      <c r="A822" s="331"/>
      <c r="B822" s="331"/>
      <c r="C822" s="332"/>
      <c r="D822" s="331"/>
      <c r="E822" s="333"/>
      <c r="F822" s="271"/>
      <c r="G822" s="931"/>
      <c r="H822" s="931"/>
      <c r="I822" s="931"/>
      <c r="J822" s="931"/>
      <c r="K822" s="931"/>
      <c r="L822" s="931"/>
      <c r="M822" s="931"/>
      <c r="N822" s="931"/>
      <c r="O822" s="931"/>
      <c r="P822" s="931"/>
      <c r="Q822" s="931"/>
      <c r="R822" s="931"/>
    </row>
    <row r="823" spans="1:18" s="328" customFormat="1" ht="13.5" customHeight="1">
      <c r="A823" s="331"/>
      <c r="B823" s="331"/>
      <c r="C823" s="332"/>
      <c r="D823" s="331"/>
      <c r="E823" s="333"/>
      <c r="F823" s="271"/>
      <c r="G823" s="931"/>
      <c r="H823" s="931"/>
      <c r="I823" s="931"/>
      <c r="J823" s="931"/>
      <c r="K823" s="931"/>
      <c r="L823" s="931"/>
      <c r="M823" s="931"/>
      <c r="N823" s="931"/>
      <c r="O823" s="931"/>
      <c r="P823" s="931"/>
      <c r="Q823" s="931"/>
      <c r="R823" s="931"/>
    </row>
    <row r="824" spans="1:18" s="328" customFormat="1" ht="13.5" customHeight="1">
      <c r="A824" s="331"/>
      <c r="B824" s="331"/>
      <c r="C824" s="332"/>
      <c r="D824" s="331"/>
      <c r="E824" s="333"/>
      <c r="F824" s="271"/>
      <c r="G824" s="931"/>
      <c r="H824" s="931"/>
      <c r="I824" s="931"/>
      <c r="J824" s="931"/>
      <c r="K824" s="931"/>
      <c r="L824" s="931"/>
      <c r="M824" s="931"/>
      <c r="N824" s="931"/>
      <c r="O824" s="931"/>
      <c r="P824" s="931"/>
      <c r="Q824" s="931"/>
      <c r="R824" s="931"/>
    </row>
    <row r="825" spans="1:18" s="328" customFormat="1" ht="13.5" customHeight="1">
      <c r="A825" s="331"/>
      <c r="B825" s="331"/>
      <c r="C825" s="332"/>
      <c r="D825" s="331"/>
      <c r="E825" s="333"/>
      <c r="F825" s="271"/>
      <c r="G825" s="931"/>
      <c r="H825" s="931"/>
      <c r="I825" s="931"/>
      <c r="J825" s="931"/>
      <c r="K825" s="931"/>
      <c r="L825" s="931"/>
      <c r="M825" s="931"/>
      <c r="N825" s="931"/>
      <c r="O825" s="931"/>
      <c r="P825" s="931"/>
      <c r="Q825" s="931"/>
      <c r="R825" s="931"/>
    </row>
    <row r="826" spans="1:18" s="328" customFormat="1" ht="13.5" customHeight="1">
      <c r="A826" s="331"/>
      <c r="B826" s="331"/>
      <c r="C826" s="332"/>
      <c r="D826" s="331"/>
      <c r="E826" s="333"/>
      <c r="F826" s="271"/>
      <c r="G826" s="931"/>
      <c r="H826" s="931"/>
      <c r="I826" s="931"/>
      <c r="J826" s="931"/>
      <c r="K826" s="931"/>
      <c r="L826" s="931"/>
      <c r="M826" s="931"/>
      <c r="N826" s="931"/>
      <c r="O826" s="931"/>
      <c r="P826" s="931"/>
      <c r="Q826" s="931"/>
      <c r="R826" s="931"/>
    </row>
    <row r="827" spans="1:18" s="328" customFormat="1" ht="13.5" customHeight="1">
      <c r="A827" s="331"/>
      <c r="B827" s="331"/>
      <c r="C827" s="332"/>
      <c r="D827" s="331"/>
      <c r="E827" s="333"/>
      <c r="F827" s="271"/>
      <c r="G827" s="931"/>
      <c r="H827" s="931"/>
      <c r="I827" s="931"/>
      <c r="J827" s="931"/>
      <c r="K827" s="931"/>
      <c r="L827" s="931"/>
      <c r="M827" s="931"/>
      <c r="N827" s="931"/>
      <c r="O827" s="931"/>
      <c r="P827" s="931"/>
      <c r="Q827" s="931"/>
      <c r="R827" s="931"/>
    </row>
    <row r="828" spans="1:18" s="328" customFormat="1" ht="13.5" customHeight="1">
      <c r="A828" s="331"/>
      <c r="B828" s="331"/>
      <c r="C828" s="332"/>
      <c r="D828" s="331"/>
      <c r="E828" s="333"/>
      <c r="F828" s="271"/>
      <c r="G828" s="931"/>
      <c r="H828" s="931"/>
      <c r="I828" s="931"/>
      <c r="J828" s="931"/>
      <c r="K828" s="931"/>
      <c r="L828" s="931"/>
      <c r="M828" s="931"/>
      <c r="N828" s="931"/>
      <c r="O828" s="931"/>
      <c r="P828" s="931"/>
      <c r="Q828" s="931"/>
      <c r="R828" s="931"/>
    </row>
    <row r="829" spans="1:18" s="328" customFormat="1" ht="13.5" customHeight="1">
      <c r="A829" s="331"/>
      <c r="B829" s="331"/>
      <c r="C829" s="332"/>
      <c r="D829" s="331"/>
      <c r="E829" s="333"/>
      <c r="F829" s="271"/>
      <c r="G829" s="931"/>
      <c r="H829" s="931"/>
      <c r="I829" s="931"/>
      <c r="J829" s="931"/>
      <c r="K829" s="931"/>
      <c r="L829" s="931"/>
      <c r="M829" s="931"/>
      <c r="N829" s="931"/>
      <c r="O829" s="931"/>
      <c r="P829" s="931"/>
      <c r="Q829" s="931"/>
      <c r="R829" s="931"/>
    </row>
    <row r="830" spans="1:18" s="328" customFormat="1" ht="13.5" customHeight="1">
      <c r="A830" s="331"/>
      <c r="B830" s="331"/>
      <c r="C830" s="332"/>
      <c r="D830" s="331"/>
      <c r="E830" s="333"/>
      <c r="F830" s="271"/>
      <c r="G830" s="931"/>
      <c r="H830" s="931"/>
      <c r="I830" s="931"/>
      <c r="J830" s="931"/>
      <c r="K830" s="931"/>
      <c r="L830" s="931"/>
      <c r="M830" s="931"/>
      <c r="N830" s="931"/>
      <c r="O830" s="931"/>
      <c r="P830" s="931"/>
      <c r="Q830" s="931"/>
      <c r="R830" s="931"/>
    </row>
    <row r="831" spans="1:18" s="328" customFormat="1" ht="13.5" customHeight="1">
      <c r="A831" s="331"/>
      <c r="B831" s="331"/>
      <c r="C831" s="332"/>
      <c r="D831" s="331"/>
      <c r="E831" s="333"/>
      <c r="F831" s="271"/>
      <c r="G831" s="931"/>
      <c r="H831" s="931"/>
      <c r="I831" s="931"/>
      <c r="J831" s="931"/>
      <c r="K831" s="931"/>
      <c r="L831" s="931"/>
      <c r="M831" s="931"/>
      <c r="N831" s="931"/>
      <c r="O831" s="931"/>
      <c r="P831" s="931"/>
      <c r="Q831" s="931"/>
      <c r="R831" s="931"/>
    </row>
    <row r="832" spans="1:18" s="328" customFormat="1" ht="13.5" customHeight="1">
      <c r="A832" s="331"/>
      <c r="B832" s="331"/>
      <c r="C832" s="332"/>
      <c r="D832" s="331"/>
      <c r="E832" s="333"/>
      <c r="F832" s="271"/>
      <c r="G832" s="931"/>
      <c r="H832" s="931"/>
      <c r="I832" s="931"/>
      <c r="J832" s="931"/>
      <c r="K832" s="931"/>
      <c r="L832" s="931"/>
      <c r="M832" s="931"/>
      <c r="N832" s="931"/>
      <c r="O832" s="931"/>
      <c r="P832" s="931"/>
      <c r="Q832" s="931"/>
      <c r="R832" s="931"/>
    </row>
    <row r="833" spans="1:18" s="328" customFormat="1" ht="13.5" customHeight="1">
      <c r="A833" s="331"/>
      <c r="B833" s="331"/>
      <c r="C833" s="332"/>
      <c r="D833" s="331"/>
      <c r="E833" s="333"/>
      <c r="F833" s="271"/>
      <c r="G833" s="931"/>
      <c r="H833" s="931"/>
      <c r="I833" s="931"/>
      <c r="J833" s="931"/>
      <c r="K833" s="931"/>
      <c r="L833" s="931"/>
      <c r="M833" s="931"/>
      <c r="N833" s="931"/>
      <c r="O833" s="931"/>
      <c r="P833" s="931"/>
      <c r="Q833" s="931"/>
      <c r="R833" s="931"/>
    </row>
    <row r="834" spans="1:18" s="328" customFormat="1" ht="13.5" customHeight="1">
      <c r="A834" s="331"/>
      <c r="B834" s="331"/>
      <c r="C834" s="332"/>
      <c r="D834" s="331"/>
      <c r="E834" s="333"/>
      <c r="F834" s="271"/>
      <c r="G834" s="931"/>
      <c r="H834" s="931"/>
      <c r="I834" s="931"/>
      <c r="J834" s="931"/>
      <c r="K834" s="931"/>
      <c r="L834" s="931"/>
      <c r="M834" s="931"/>
      <c r="N834" s="931"/>
      <c r="O834" s="931"/>
      <c r="P834" s="931"/>
      <c r="Q834" s="931"/>
      <c r="R834" s="931"/>
    </row>
    <row r="835" spans="1:18" s="328" customFormat="1" ht="13.5" customHeight="1">
      <c r="A835" s="331"/>
      <c r="B835" s="331"/>
      <c r="C835" s="332"/>
      <c r="D835" s="331"/>
      <c r="E835" s="333"/>
      <c r="F835" s="271"/>
      <c r="G835" s="931"/>
      <c r="H835" s="931"/>
      <c r="I835" s="931"/>
      <c r="J835" s="931"/>
      <c r="K835" s="931"/>
      <c r="L835" s="931"/>
      <c r="M835" s="931"/>
      <c r="N835" s="931"/>
      <c r="O835" s="931"/>
      <c r="P835" s="931"/>
      <c r="Q835" s="931"/>
      <c r="R835" s="931"/>
    </row>
    <row r="836" spans="1:18" s="328" customFormat="1" ht="13.5" customHeight="1">
      <c r="A836" s="331"/>
      <c r="B836" s="331"/>
      <c r="C836" s="332"/>
      <c r="D836" s="331"/>
      <c r="E836" s="333"/>
      <c r="F836" s="271"/>
      <c r="G836" s="931"/>
      <c r="H836" s="931"/>
      <c r="I836" s="931"/>
      <c r="J836" s="931"/>
      <c r="K836" s="931"/>
      <c r="L836" s="931"/>
      <c r="M836" s="931"/>
      <c r="N836" s="931"/>
      <c r="O836" s="931"/>
      <c r="P836" s="931"/>
      <c r="Q836" s="931"/>
      <c r="R836" s="931"/>
    </row>
    <row r="837" spans="1:18" s="328" customFormat="1" ht="13.5" customHeight="1">
      <c r="A837" s="331"/>
      <c r="B837" s="331"/>
      <c r="C837" s="332"/>
      <c r="D837" s="331"/>
      <c r="E837" s="333"/>
      <c r="F837" s="271"/>
      <c r="G837" s="931"/>
      <c r="H837" s="931"/>
      <c r="I837" s="931"/>
      <c r="J837" s="931"/>
      <c r="K837" s="931"/>
      <c r="L837" s="931"/>
      <c r="M837" s="931"/>
      <c r="N837" s="931"/>
      <c r="O837" s="931"/>
      <c r="P837" s="931"/>
      <c r="Q837" s="931"/>
      <c r="R837" s="931"/>
    </row>
    <row r="838" spans="1:18" s="328" customFormat="1" ht="13.5" customHeight="1">
      <c r="A838" s="331"/>
      <c r="B838" s="331"/>
      <c r="C838" s="332"/>
      <c r="D838" s="331"/>
      <c r="E838" s="333"/>
      <c r="F838" s="271"/>
      <c r="G838" s="931"/>
      <c r="H838" s="931"/>
      <c r="I838" s="931"/>
      <c r="J838" s="931"/>
      <c r="K838" s="931"/>
      <c r="L838" s="931"/>
      <c r="M838" s="931"/>
      <c r="N838" s="931"/>
      <c r="O838" s="931"/>
      <c r="P838" s="931"/>
      <c r="Q838" s="931"/>
      <c r="R838" s="931"/>
    </row>
    <row r="839" spans="1:18" s="328" customFormat="1" ht="13.5" customHeight="1">
      <c r="A839" s="331"/>
      <c r="B839" s="331"/>
      <c r="C839" s="332"/>
      <c r="D839" s="331"/>
      <c r="E839" s="333"/>
      <c r="F839" s="271"/>
      <c r="G839" s="931"/>
      <c r="H839" s="931"/>
      <c r="I839" s="931"/>
      <c r="J839" s="931"/>
      <c r="K839" s="931"/>
      <c r="L839" s="931"/>
      <c r="M839" s="931"/>
      <c r="N839" s="931"/>
      <c r="O839" s="931"/>
      <c r="P839" s="931"/>
      <c r="Q839" s="931"/>
      <c r="R839" s="931"/>
    </row>
    <row r="840" spans="1:18" s="328" customFormat="1" ht="13.5" customHeight="1">
      <c r="A840" s="331"/>
      <c r="B840" s="331"/>
      <c r="C840" s="332"/>
      <c r="D840" s="331"/>
      <c r="E840" s="333"/>
      <c r="F840" s="271"/>
      <c r="G840" s="931"/>
      <c r="H840" s="931"/>
      <c r="I840" s="931"/>
      <c r="J840" s="931"/>
      <c r="K840" s="931"/>
      <c r="L840" s="931"/>
      <c r="M840" s="931"/>
      <c r="N840" s="931"/>
      <c r="O840" s="931"/>
      <c r="P840" s="931"/>
      <c r="Q840" s="931"/>
      <c r="R840" s="931"/>
    </row>
    <row r="841" spans="1:18" s="328" customFormat="1" ht="13.5" customHeight="1">
      <c r="A841" s="331"/>
      <c r="B841" s="331"/>
      <c r="C841" s="332"/>
      <c r="D841" s="331"/>
      <c r="E841" s="333"/>
      <c r="F841" s="271"/>
      <c r="G841" s="931"/>
      <c r="H841" s="931"/>
      <c r="I841" s="931"/>
      <c r="J841" s="931"/>
      <c r="K841" s="931"/>
      <c r="L841" s="931"/>
      <c r="M841" s="931"/>
      <c r="N841" s="931"/>
      <c r="O841" s="931"/>
      <c r="P841" s="931"/>
      <c r="Q841" s="931"/>
      <c r="R841" s="931"/>
    </row>
    <row r="842" spans="1:18" s="328" customFormat="1" ht="13.5" customHeight="1">
      <c r="A842" s="331"/>
      <c r="B842" s="331"/>
      <c r="C842" s="332"/>
      <c r="D842" s="331"/>
      <c r="E842" s="333"/>
      <c r="F842" s="271"/>
      <c r="G842" s="931"/>
      <c r="H842" s="931"/>
      <c r="I842" s="931"/>
      <c r="J842" s="931"/>
      <c r="K842" s="931"/>
      <c r="L842" s="931"/>
      <c r="M842" s="931"/>
      <c r="N842" s="931"/>
      <c r="O842" s="931"/>
      <c r="P842" s="931"/>
      <c r="Q842" s="931"/>
      <c r="R842" s="931"/>
    </row>
    <row r="843" spans="1:18" s="328" customFormat="1" ht="13.5" customHeight="1">
      <c r="A843" s="331"/>
      <c r="B843" s="331"/>
      <c r="C843" s="332"/>
      <c r="D843" s="331"/>
      <c r="E843" s="333"/>
      <c r="F843" s="271"/>
      <c r="G843" s="931"/>
      <c r="H843" s="931"/>
      <c r="I843" s="931"/>
      <c r="J843" s="931"/>
      <c r="K843" s="931"/>
      <c r="L843" s="931"/>
      <c r="M843" s="931"/>
      <c r="N843" s="931"/>
      <c r="O843" s="931"/>
      <c r="P843" s="931"/>
      <c r="Q843" s="931"/>
      <c r="R843" s="931"/>
    </row>
    <row r="844" spans="1:18" s="328" customFormat="1" ht="13.5" customHeight="1">
      <c r="A844" s="331"/>
      <c r="B844" s="331"/>
      <c r="C844" s="332"/>
      <c r="D844" s="331"/>
      <c r="E844" s="333"/>
      <c r="F844" s="271"/>
      <c r="G844" s="931"/>
      <c r="H844" s="931"/>
      <c r="I844" s="931"/>
      <c r="J844" s="931"/>
      <c r="K844" s="931"/>
      <c r="L844" s="931"/>
      <c r="M844" s="931"/>
      <c r="N844" s="931"/>
      <c r="O844" s="931"/>
      <c r="P844" s="931"/>
      <c r="Q844" s="931"/>
      <c r="R844" s="931"/>
    </row>
    <row r="845" spans="1:18" s="328" customFormat="1" ht="13.5" customHeight="1">
      <c r="A845" s="331"/>
      <c r="B845" s="331"/>
      <c r="C845" s="332"/>
      <c r="D845" s="331"/>
      <c r="E845" s="333"/>
      <c r="F845" s="271"/>
      <c r="G845" s="931"/>
      <c r="H845" s="931"/>
      <c r="I845" s="931"/>
      <c r="J845" s="931"/>
      <c r="K845" s="931"/>
      <c r="L845" s="931"/>
      <c r="M845" s="931"/>
      <c r="N845" s="931"/>
      <c r="O845" s="931"/>
      <c r="P845" s="931"/>
      <c r="Q845" s="931"/>
      <c r="R845" s="931"/>
    </row>
    <row r="846" spans="1:18" s="328" customFormat="1" ht="13.5" customHeight="1">
      <c r="A846" s="331"/>
      <c r="B846" s="331"/>
      <c r="C846" s="332"/>
      <c r="D846" s="331"/>
      <c r="E846" s="333"/>
      <c r="F846" s="271"/>
      <c r="G846" s="931"/>
      <c r="H846" s="931"/>
      <c r="I846" s="931"/>
      <c r="J846" s="931"/>
      <c r="K846" s="931"/>
      <c r="L846" s="931"/>
      <c r="M846" s="931"/>
      <c r="N846" s="931"/>
      <c r="O846" s="931"/>
      <c r="P846" s="931"/>
      <c r="Q846" s="931"/>
      <c r="R846" s="931"/>
    </row>
    <row r="847" spans="1:18" s="328" customFormat="1" ht="13.5" customHeight="1">
      <c r="A847" s="331"/>
      <c r="B847" s="331"/>
      <c r="C847" s="332"/>
      <c r="D847" s="331"/>
      <c r="E847" s="333"/>
      <c r="F847" s="271"/>
      <c r="G847" s="931"/>
      <c r="H847" s="931"/>
      <c r="I847" s="931"/>
      <c r="J847" s="931"/>
      <c r="K847" s="931"/>
      <c r="L847" s="931"/>
      <c r="M847" s="931"/>
      <c r="N847" s="931"/>
      <c r="O847" s="931"/>
      <c r="P847" s="931"/>
      <c r="Q847" s="931"/>
      <c r="R847" s="931"/>
    </row>
    <row r="848" spans="1:18" s="328" customFormat="1" ht="13.5" customHeight="1">
      <c r="A848" s="331"/>
      <c r="B848" s="331"/>
      <c r="C848" s="332"/>
      <c r="D848" s="331"/>
      <c r="E848" s="333"/>
      <c r="F848" s="271"/>
      <c r="G848" s="931"/>
      <c r="H848" s="931"/>
      <c r="I848" s="931"/>
      <c r="J848" s="931"/>
      <c r="K848" s="931"/>
      <c r="L848" s="931"/>
      <c r="M848" s="931"/>
      <c r="N848" s="931"/>
      <c r="O848" s="931"/>
      <c r="P848" s="931"/>
      <c r="Q848" s="931"/>
      <c r="R848" s="931"/>
    </row>
    <row r="849" spans="1:18" s="328" customFormat="1" ht="13.5" customHeight="1">
      <c r="A849" s="331"/>
      <c r="B849" s="331"/>
      <c r="C849" s="332"/>
      <c r="D849" s="331"/>
      <c r="E849" s="333"/>
      <c r="F849" s="271"/>
      <c r="G849" s="931"/>
      <c r="H849" s="931"/>
      <c r="I849" s="931"/>
      <c r="J849" s="931"/>
      <c r="K849" s="931"/>
      <c r="L849" s="931"/>
      <c r="M849" s="931"/>
      <c r="N849" s="931"/>
      <c r="O849" s="931"/>
      <c r="P849" s="931"/>
      <c r="Q849" s="931"/>
      <c r="R849" s="931"/>
    </row>
    <row r="850" spans="1:18" s="328" customFormat="1" ht="13.5" customHeight="1">
      <c r="A850" s="331"/>
      <c r="B850" s="331"/>
      <c r="C850" s="332"/>
      <c r="D850" s="331"/>
      <c r="E850" s="333"/>
      <c r="F850" s="271"/>
      <c r="G850" s="931"/>
      <c r="H850" s="931"/>
      <c r="I850" s="931"/>
      <c r="J850" s="931"/>
      <c r="K850" s="931"/>
      <c r="L850" s="931"/>
      <c r="M850" s="931"/>
      <c r="N850" s="931"/>
      <c r="O850" s="931"/>
      <c r="P850" s="931"/>
      <c r="Q850" s="931"/>
      <c r="R850" s="931"/>
    </row>
    <row r="851" spans="1:18" s="328" customFormat="1" ht="13.5" customHeight="1">
      <c r="A851" s="331"/>
      <c r="B851" s="331"/>
      <c r="C851" s="332"/>
      <c r="D851" s="331"/>
      <c r="E851" s="333"/>
      <c r="F851" s="271"/>
      <c r="G851" s="931"/>
      <c r="H851" s="931"/>
      <c r="I851" s="931"/>
      <c r="J851" s="931"/>
      <c r="K851" s="931"/>
      <c r="L851" s="931"/>
      <c r="M851" s="931"/>
      <c r="N851" s="931"/>
      <c r="O851" s="931"/>
      <c r="P851" s="931"/>
      <c r="Q851" s="931"/>
      <c r="R851" s="931"/>
    </row>
    <row r="852" spans="1:18" s="328" customFormat="1" ht="13.5" customHeight="1">
      <c r="A852" s="331"/>
      <c r="B852" s="331"/>
      <c r="C852" s="332"/>
      <c r="D852" s="331"/>
      <c r="E852" s="333"/>
      <c r="F852" s="271"/>
      <c r="G852" s="931"/>
      <c r="H852" s="931"/>
      <c r="I852" s="931"/>
      <c r="J852" s="931"/>
      <c r="K852" s="931"/>
      <c r="L852" s="931"/>
      <c r="M852" s="931"/>
      <c r="N852" s="931"/>
      <c r="O852" s="931"/>
      <c r="P852" s="931"/>
      <c r="Q852" s="931"/>
      <c r="R852" s="931"/>
    </row>
    <row r="853" spans="1:18" s="328" customFormat="1" ht="13.5" customHeight="1">
      <c r="A853" s="331"/>
      <c r="B853" s="331"/>
      <c r="C853" s="332"/>
      <c r="D853" s="331"/>
      <c r="E853" s="333"/>
      <c r="F853" s="271"/>
      <c r="G853" s="931"/>
      <c r="H853" s="931"/>
      <c r="I853" s="931"/>
      <c r="J853" s="931"/>
      <c r="K853" s="931"/>
      <c r="L853" s="931"/>
      <c r="M853" s="931"/>
      <c r="N853" s="931"/>
      <c r="O853" s="931"/>
      <c r="P853" s="931"/>
      <c r="Q853" s="931"/>
      <c r="R853" s="931"/>
    </row>
    <row r="854" spans="1:18" s="328" customFormat="1" ht="13.5" customHeight="1">
      <c r="A854" s="331"/>
      <c r="B854" s="331"/>
      <c r="C854" s="332"/>
      <c r="D854" s="331"/>
      <c r="E854" s="333"/>
      <c r="F854" s="271"/>
      <c r="G854" s="931"/>
      <c r="H854" s="931"/>
      <c r="I854" s="931"/>
      <c r="J854" s="931"/>
      <c r="K854" s="931"/>
      <c r="L854" s="931"/>
      <c r="M854" s="931"/>
      <c r="N854" s="931"/>
      <c r="O854" s="931"/>
      <c r="P854" s="931"/>
      <c r="Q854" s="931"/>
      <c r="R854" s="931"/>
    </row>
    <row r="855" spans="1:18" s="328" customFormat="1" ht="13.5" customHeight="1">
      <c r="A855" s="331"/>
      <c r="B855" s="331"/>
      <c r="C855" s="332"/>
      <c r="D855" s="331"/>
      <c r="E855" s="333"/>
      <c r="F855" s="271"/>
      <c r="G855" s="931"/>
      <c r="H855" s="931"/>
      <c r="I855" s="931"/>
      <c r="J855" s="931"/>
      <c r="K855" s="931"/>
      <c r="L855" s="931"/>
      <c r="M855" s="931"/>
      <c r="N855" s="931"/>
      <c r="O855" s="931"/>
      <c r="P855" s="931"/>
      <c r="Q855" s="931"/>
      <c r="R855" s="931"/>
    </row>
    <row r="856" spans="1:18" s="328" customFormat="1" ht="13.5" customHeight="1">
      <c r="A856" s="331"/>
      <c r="B856" s="331"/>
      <c r="C856" s="332"/>
      <c r="D856" s="331"/>
      <c r="E856" s="333"/>
      <c r="F856" s="271"/>
      <c r="G856" s="931"/>
      <c r="H856" s="931"/>
      <c r="I856" s="931"/>
      <c r="J856" s="931"/>
      <c r="K856" s="931"/>
      <c r="L856" s="931"/>
      <c r="M856" s="931"/>
      <c r="N856" s="931"/>
      <c r="O856" s="931"/>
      <c r="P856" s="931"/>
      <c r="Q856" s="931"/>
      <c r="R856" s="931"/>
    </row>
    <row r="857" spans="1:18" s="328" customFormat="1" ht="13.5" customHeight="1">
      <c r="A857" s="331"/>
      <c r="B857" s="331"/>
      <c r="C857" s="332"/>
      <c r="D857" s="331"/>
      <c r="E857" s="333"/>
      <c r="F857" s="271"/>
      <c r="G857" s="931"/>
      <c r="H857" s="931"/>
      <c r="I857" s="931"/>
      <c r="J857" s="931"/>
      <c r="K857" s="931"/>
      <c r="L857" s="931"/>
      <c r="M857" s="931"/>
      <c r="N857" s="931"/>
      <c r="O857" s="931"/>
      <c r="P857" s="931"/>
      <c r="Q857" s="931"/>
      <c r="R857" s="931"/>
    </row>
    <row r="858" spans="1:18" s="328" customFormat="1" ht="13.5" customHeight="1">
      <c r="A858" s="331"/>
      <c r="B858" s="331"/>
      <c r="C858" s="332"/>
      <c r="D858" s="331"/>
      <c r="E858" s="333"/>
      <c r="F858" s="271"/>
      <c r="G858" s="931"/>
      <c r="H858" s="931"/>
      <c r="I858" s="931"/>
      <c r="J858" s="931"/>
      <c r="K858" s="931"/>
      <c r="L858" s="931"/>
      <c r="M858" s="931"/>
      <c r="N858" s="931"/>
      <c r="O858" s="931"/>
      <c r="P858" s="931"/>
      <c r="Q858" s="931"/>
      <c r="R858" s="931"/>
    </row>
    <row r="859" spans="1:18" s="328" customFormat="1" ht="13.5" customHeight="1">
      <c r="A859" s="331"/>
      <c r="B859" s="331"/>
      <c r="C859" s="332"/>
      <c r="D859" s="331"/>
      <c r="E859" s="333"/>
      <c r="F859" s="271"/>
      <c r="G859" s="931"/>
      <c r="H859" s="931"/>
      <c r="I859" s="931"/>
      <c r="J859" s="931"/>
      <c r="K859" s="931"/>
      <c r="L859" s="931"/>
      <c r="M859" s="931"/>
      <c r="N859" s="931"/>
      <c r="O859" s="931"/>
      <c r="P859" s="931"/>
      <c r="Q859" s="931"/>
      <c r="R859" s="931"/>
    </row>
    <row r="860" spans="1:18" s="328" customFormat="1" ht="13.5" customHeight="1">
      <c r="A860" s="331"/>
      <c r="B860" s="331"/>
      <c r="C860" s="332"/>
      <c r="D860" s="331"/>
      <c r="E860" s="333"/>
      <c r="F860" s="271"/>
      <c r="G860" s="931"/>
      <c r="H860" s="931"/>
      <c r="I860" s="931"/>
      <c r="J860" s="931"/>
      <c r="K860" s="931"/>
      <c r="L860" s="931"/>
      <c r="M860" s="931"/>
      <c r="N860" s="931"/>
      <c r="O860" s="931"/>
      <c r="P860" s="931"/>
      <c r="Q860" s="931"/>
      <c r="R860" s="931"/>
    </row>
    <row r="861" spans="1:18" s="328" customFormat="1" ht="13.5" customHeight="1">
      <c r="A861" s="331"/>
      <c r="B861" s="331"/>
      <c r="C861" s="332"/>
      <c r="D861" s="331"/>
      <c r="E861" s="333"/>
      <c r="F861" s="271"/>
      <c r="G861" s="931"/>
      <c r="H861" s="931"/>
      <c r="I861" s="931"/>
      <c r="J861" s="931"/>
      <c r="K861" s="931"/>
      <c r="L861" s="931"/>
      <c r="M861" s="931"/>
      <c r="N861" s="931"/>
      <c r="O861" s="931"/>
      <c r="P861" s="931"/>
      <c r="Q861" s="931"/>
      <c r="R861" s="931"/>
    </row>
    <row r="862" spans="1:18" s="328" customFormat="1" ht="13.5" customHeight="1">
      <c r="A862" s="331"/>
      <c r="B862" s="331"/>
      <c r="C862" s="332"/>
      <c r="D862" s="331"/>
      <c r="E862" s="333"/>
      <c r="F862" s="271"/>
      <c r="G862" s="931"/>
      <c r="H862" s="931"/>
      <c r="I862" s="931"/>
      <c r="J862" s="931"/>
      <c r="K862" s="931"/>
      <c r="L862" s="931"/>
      <c r="M862" s="931"/>
      <c r="N862" s="931"/>
      <c r="O862" s="931"/>
      <c r="P862" s="931"/>
      <c r="Q862" s="931"/>
      <c r="R862" s="931"/>
    </row>
    <row r="863" spans="1:18" s="328" customFormat="1" ht="13.5" customHeight="1">
      <c r="A863" s="331"/>
      <c r="B863" s="331"/>
      <c r="C863" s="332"/>
      <c r="D863" s="331"/>
      <c r="E863" s="333"/>
      <c r="F863" s="271"/>
      <c r="G863" s="931"/>
      <c r="H863" s="931"/>
      <c r="I863" s="931"/>
      <c r="J863" s="931"/>
      <c r="K863" s="931"/>
      <c r="L863" s="931"/>
      <c r="M863" s="931"/>
      <c r="N863" s="931"/>
      <c r="O863" s="931"/>
      <c r="P863" s="931"/>
      <c r="Q863" s="931"/>
      <c r="R863" s="931"/>
    </row>
    <row r="864" spans="1:18" s="328" customFormat="1" ht="13.5" customHeight="1">
      <c r="A864" s="331"/>
      <c r="B864" s="331"/>
      <c r="C864" s="332"/>
      <c r="D864" s="331"/>
      <c r="E864" s="333"/>
      <c r="F864" s="271"/>
      <c r="G864" s="931"/>
      <c r="H864" s="931"/>
      <c r="I864" s="931"/>
      <c r="J864" s="931"/>
      <c r="K864" s="931"/>
      <c r="L864" s="931"/>
      <c r="M864" s="931"/>
      <c r="N864" s="931"/>
      <c r="O864" s="931"/>
      <c r="P864" s="931"/>
      <c r="Q864" s="931"/>
      <c r="R864" s="931"/>
    </row>
    <row r="865" spans="1:18" s="328" customFormat="1" ht="13.5" customHeight="1">
      <c r="A865" s="331"/>
      <c r="B865" s="331"/>
      <c r="C865" s="332"/>
      <c r="D865" s="331"/>
      <c r="E865" s="333"/>
      <c r="F865" s="271"/>
      <c r="G865" s="931"/>
      <c r="H865" s="931"/>
      <c r="I865" s="931"/>
      <c r="J865" s="931"/>
      <c r="K865" s="931"/>
      <c r="L865" s="931"/>
      <c r="M865" s="931"/>
      <c r="N865" s="931"/>
      <c r="O865" s="931"/>
      <c r="P865" s="931"/>
      <c r="Q865" s="931"/>
      <c r="R865" s="931"/>
    </row>
    <row r="866" spans="1:18" s="328" customFormat="1" ht="13.5" customHeight="1">
      <c r="A866" s="331"/>
      <c r="B866" s="331"/>
      <c r="C866" s="332"/>
      <c r="D866" s="331"/>
      <c r="E866" s="333"/>
      <c r="F866" s="271"/>
      <c r="G866" s="931"/>
      <c r="H866" s="931"/>
      <c r="I866" s="931"/>
      <c r="J866" s="931"/>
      <c r="K866" s="931"/>
      <c r="L866" s="931"/>
      <c r="M866" s="931"/>
      <c r="N866" s="931"/>
      <c r="O866" s="931"/>
      <c r="P866" s="931"/>
      <c r="Q866" s="931"/>
      <c r="R866" s="931"/>
    </row>
    <row r="867" spans="1:18" s="328" customFormat="1" ht="13.5" customHeight="1">
      <c r="A867" s="331"/>
      <c r="B867" s="331"/>
      <c r="C867" s="332"/>
      <c r="D867" s="331"/>
      <c r="E867" s="333"/>
      <c r="F867" s="271"/>
      <c r="G867" s="931"/>
      <c r="H867" s="931"/>
      <c r="I867" s="931"/>
      <c r="J867" s="931"/>
      <c r="K867" s="931"/>
      <c r="L867" s="931"/>
      <c r="M867" s="931"/>
      <c r="N867" s="931"/>
      <c r="O867" s="931"/>
      <c r="P867" s="931"/>
      <c r="Q867" s="931"/>
      <c r="R867" s="931"/>
    </row>
    <row r="868" spans="1:18" s="328" customFormat="1" ht="13.5" customHeight="1">
      <c r="A868" s="331"/>
      <c r="B868" s="331"/>
      <c r="C868" s="332"/>
      <c r="D868" s="331"/>
      <c r="E868" s="333"/>
      <c r="F868" s="271"/>
      <c r="G868" s="931"/>
      <c r="H868" s="931"/>
      <c r="I868" s="931"/>
      <c r="J868" s="931"/>
      <c r="K868" s="931"/>
      <c r="L868" s="931"/>
      <c r="M868" s="931"/>
      <c r="N868" s="931"/>
      <c r="O868" s="931"/>
      <c r="P868" s="931"/>
      <c r="Q868" s="931"/>
      <c r="R868" s="931"/>
    </row>
    <row r="869" spans="1:18" s="328" customFormat="1" ht="13.5" customHeight="1">
      <c r="A869" s="331"/>
      <c r="B869" s="331"/>
      <c r="C869" s="332"/>
      <c r="D869" s="331"/>
      <c r="E869" s="333"/>
      <c r="F869" s="271"/>
      <c r="G869" s="931"/>
      <c r="H869" s="931"/>
      <c r="I869" s="931"/>
      <c r="J869" s="931"/>
      <c r="K869" s="931"/>
      <c r="L869" s="931"/>
      <c r="M869" s="931"/>
      <c r="N869" s="931"/>
      <c r="O869" s="931"/>
      <c r="P869" s="931"/>
      <c r="Q869" s="931"/>
      <c r="R869" s="931"/>
    </row>
    <row r="870" spans="1:18" s="328" customFormat="1" ht="13.5" customHeight="1">
      <c r="A870" s="331"/>
      <c r="B870" s="331"/>
      <c r="C870" s="332"/>
      <c r="D870" s="331"/>
      <c r="E870" s="333"/>
      <c r="F870" s="271"/>
      <c r="G870" s="931"/>
      <c r="H870" s="931"/>
      <c r="I870" s="931"/>
      <c r="J870" s="931"/>
      <c r="K870" s="931"/>
      <c r="L870" s="931"/>
      <c r="M870" s="931"/>
      <c r="N870" s="931"/>
      <c r="O870" s="931"/>
      <c r="P870" s="931"/>
      <c r="Q870" s="931"/>
      <c r="R870" s="931"/>
    </row>
    <row r="871" spans="1:18" s="328" customFormat="1" ht="13.5" customHeight="1">
      <c r="A871" s="331"/>
      <c r="B871" s="331"/>
      <c r="C871" s="332"/>
      <c r="D871" s="331"/>
      <c r="E871" s="333"/>
      <c r="F871" s="271"/>
      <c r="G871" s="931"/>
      <c r="H871" s="931"/>
      <c r="I871" s="931"/>
      <c r="J871" s="931"/>
      <c r="K871" s="931"/>
      <c r="L871" s="931"/>
      <c r="M871" s="931"/>
      <c r="N871" s="931"/>
      <c r="O871" s="931"/>
      <c r="P871" s="931"/>
      <c r="Q871" s="931"/>
      <c r="R871" s="931"/>
    </row>
    <row r="872" spans="1:18" s="328" customFormat="1" ht="13.5" customHeight="1">
      <c r="A872" s="331"/>
      <c r="B872" s="331"/>
      <c r="C872" s="332"/>
      <c r="D872" s="331"/>
      <c r="E872" s="333"/>
      <c r="F872" s="271"/>
      <c r="G872" s="931"/>
      <c r="H872" s="931"/>
      <c r="I872" s="931"/>
      <c r="J872" s="931"/>
      <c r="K872" s="931"/>
      <c r="L872" s="931"/>
      <c r="M872" s="931"/>
      <c r="N872" s="931"/>
      <c r="O872" s="931"/>
      <c r="P872" s="931"/>
      <c r="Q872" s="931"/>
      <c r="R872" s="931"/>
    </row>
    <row r="873" spans="1:18" s="328" customFormat="1" ht="13.5" customHeight="1">
      <c r="A873" s="331"/>
      <c r="B873" s="331"/>
      <c r="C873" s="332"/>
      <c r="D873" s="331"/>
      <c r="E873" s="333"/>
      <c r="F873" s="271"/>
      <c r="G873" s="931"/>
      <c r="H873" s="931"/>
      <c r="I873" s="931"/>
      <c r="J873" s="931"/>
      <c r="K873" s="931"/>
      <c r="L873" s="931"/>
      <c r="M873" s="931"/>
      <c r="N873" s="931"/>
      <c r="O873" s="931"/>
      <c r="P873" s="931"/>
      <c r="Q873" s="931"/>
      <c r="R873" s="931"/>
    </row>
    <row r="874" spans="1:18" s="328" customFormat="1" ht="13.5" customHeight="1">
      <c r="A874" s="331"/>
      <c r="B874" s="331"/>
      <c r="C874" s="332"/>
      <c r="D874" s="331"/>
      <c r="E874" s="333"/>
      <c r="F874" s="271"/>
      <c r="G874" s="931"/>
      <c r="H874" s="931"/>
      <c r="I874" s="931"/>
      <c r="J874" s="931"/>
      <c r="K874" s="931"/>
      <c r="L874" s="931"/>
      <c r="M874" s="931"/>
      <c r="N874" s="931"/>
      <c r="O874" s="931"/>
      <c r="P874" s="931"/>
      <c r="Q874" s="931"/>
      <c r="R874" s="931"/>
    </row>
    <row r="875" spans="1:18" s="328" customFormat="1" ht="13.5" customHeight="1">
      <c r="A875" s="331"/>
      <c r="B875" s="331"/>
      <c r="C875" s="332"/>
      <c r="D875" s="331"/>
      <c r="E875" s="333"/>
      <c r="F875" s="271"/>
      <c r="G875" s="931"/>
      <c r="H875" s="931"/>
      <c r="I875" s="931"/>
      <c r="J875" s="931"/>
      <c r="K875" s="931"/>
      <c r="L875" s="931"/>
      <c r="M875" s="931"/>
      <c r="N875" s="931"/>
      <c r="O875" s="931"/>
      <c r="P875" s="931"/>
      <c r="Q875" s="931"/>
      <c r="R875" s="931"/>
    </row>
    <row r="876" spans="1:18" s="328" customFormat="1" ht="13.5" customHeight="1">
      <c r="A876" s="331"/>
      <c r="B876" s="331"/>
      <c r="C876" s="332"/>
      <c r="D876" s="331"/>
      <c r="E876" s="333"/>
      <c r="F876" s="271"/>
      <c r="G876" s="931"/>
      <c r="H876" s="931"/>
      <c r="I876" s="931"/>
      <c r="J876" s="931"/>
      <c r="K876" s="931"/>
      <c r="L876" s="931"/>
      <c r="M876" s="931"/>
      <c r="N876" s="931"/>
      <c r="O876" s="931"/>
      <c r="P876" s="931"/>
      <c r="Q876" s="931"/>
      <c r="R876" s="931"/>
    </row>
    <row r="877" spans="1:18" s="328" customFormat="1" ht="13.5" customHeight="1">
      <c r="A877" s="331"/>
      <c r="B877" s="331"/>
      <c r="C877" s="332"/>
      <c r="D877" s="331"/>
      <c r="E877" s="333"/>
      <c r="F877" s="271"/>
      <c r="G877" s="931"/>
      <c r="H877" s="931"/>
      <c r="I877" s="931"/>
      <c r="J877" s="931"/>
      <c r="K877" s="931"/>
      <c r="L877" s="931"/>
      <c r="M877" s="931"/>
      <c r="N877" s="931"/>
      <c r="O877" s="931"/>
      <c r="P877" s="931"/>
      <c r="Q877" s="931"/>
      <c r="R877" s="931"/>
    </row>
    <row r="878" spans="1:18" s="328" customFormat="1" ht="13.5" customHeight="1">
      <c r="A878" s="331"/>
      <c r="B878" s="331"/>
      <c r="C878" s="332"/>
      <c r="D878" s="331"/>
      <c r="E878" s="333"/>
      <c r="F878" s="271"/>
      <c r="G878" s="931"/>
      <c r="H878" s="931"/>
      <c r="I878" s="931"/>
      <c r="J878" s="931"/>
      <c r="K878" s="931"/>
      <c r="L878" s="931"/>
      <c r="M878" s="931"/>
      <c r="N878" s="931"/>
      <c r="O878" s="931"/>
      <c r="P878" s="931"/>
      <c r="Q878" s="931"/>
      <c r="R878" s="931"/>
    </row>
    <row r="879" spans="1:18" s="328" customFormat="1" ht="13.5" customHeight="1">
      <c r="A879" s="331"/>
      <c r="B879" s="331"/>
      <c r="C879" s="332"/>
      <c r="D879" s="331"/>
      <c r="E879" s="333"/>
      <c r="F879" s="271"/>
      <c r="G879" s="931"/>
      <c r="H879" s="931"/>
      <c r="I879" s="931"/>
      <c r="J879" s="931"/>
      <c r="K879" s="931"/>
      <c r="L879" s="931"/>
      <c r="M879" s="931"/>
      <c r="N879" s="931"/>
      <c r="O879" s="931"/>
      <c r="P879" s="931"/>
      <c r="Q879" s="931"/>
      <c r="R879" s="931"/>
    </row>
    <row r="880" spans="1:18" s="328" customFormat="1" ht="13.5" customHeight="1">
      <c r="A880" s="331"/>
      <c r="B880" s="331"/>
      <c r="C880" s="332"/>
      <c r="D880" s="331"/>
      <c r="E880" s="333"/>
      <c r="F880" s="271"/>
      <c r="G880" s="931"/>
      <c r="H880" s="931"/>
      <c r="I880" s="931"/>
      <c r="J880" s="931"/>
      <c r="K880" s="931"/>
      <c r="L880" s="931"/>
      <c r="M880" s="931"/>
      <c r="N880" s="931"/>
      <c r="O880" s="931"/>
      <c r="P880" s="931"/>
      <c r="Q880" s="931"/>
      <c r="R880" s="931"/>
    </row>
    <row r="881" spans="1:18" s="328" customFormat="1" ht="13.5" customHeight="1">
      <c r="A881" s="331"/>
      <c r="B881" s="331"/>
      <c r="C881" s="332"/>
      <c r="D881" s="331"/>
      <c r="E881" s="333"/>
      <c r="F881" s="271"/>
      <c r="G881" s="931"/>
      <c r="H881" s="931"/>
      <c r="I881" s="931"/>
      <c r="J881" s="931"/>
      <c r="K881" s="931"/>
      <c r="L881" s="931"/>
      <c r="M881" s="931"/>
      <c r="N881" s="931"/>
      <c r="O881" s="931"/>
      <c r="P881" s="931"/>
      <c r="Q881" s="931"/>
      <c r="R881" s="931"/>
    </row>
    <row r="882" spans="1:18" s="328" customFormat="1" ht="13.5" customHeight="1">
      <c r="A882" s="331"/>
      <c r="B882" s="331"/>
      <c r="C882" s="332"/>
      <c r="D882" s="331"/>
      <c r="E882" s="333"/>
      <c r="F882" s="271"/>
      <c r="G882" s="931"/>
      <c r="H882" s="931"/>
      <c r="I882" s="931"/>
      <c r="J882" s="931"/>
      <c r="K882" s="931"/>
      <c r="L882" s="931"/>
      <c r="M882" s="931"/>
      <c r="N882" s="931"/>
      <c r="O882" s="931"/>
      <c r="P882" s="931"/>
      <c r="Q882" s="931"/>
      <c r="R882" s="931"/>
    </row>
    <row r="883" spans="1:18" s="328" customFormat="1" ht="13.5" customHeight="1">
      <c r="A883" s="331"/>
      <c r="B883" s="331"/>
      <c r="C883" s="332"/>
      <c r="D883" s="331"/>
      <c r="E883" s="333"/>
      <c r="F883" s="271"/>
      <c r="G883" s="931"/>
      <c r="H883" s="931"/>
      <c r="I883" s="931"/>
      <c r="J883" s="931"/>
      <c r="K883" s="931"/>
      <c r="L883" s="931"/>
      <c r="M883" s="931"/>
      <c r="N883" s="931"/>
      <c r="O883" s="931"/>
      <c r="P883" s="931"/>
      <c r="Q883" s="931"/>
      <c r="R883" s="931"/>
    </row>
    <row r="884" spans="1:18" s="328" customFormat="1" ht="13.5" customHeight="1">
      <c r="A884" s="331"/>
      <c r="B884" s="331"/>
      <c r="C884" s="332"/>
      <c r="D884" s="331"/>
      <c r="E884" s="333"/>
      <c r="F884" s="271"/>
      <c r="G884" s="931"/>
      <c r="H884" s="931"/>
      <c r="I884" s="931"/>
      <c r="J884" s="931"/>
      <c r="K884" s="931"/>
      <c r="L884" s="931"/>
      <c r="M884" s="931"/>
      <c r="N884" s="931"/>
      <c r="O884" s="931"/>
      <c r="P884" s="931"/>
      <c r="Q884" s="931"/>
      <c r="R884" s="931"/>
    </row>
    <row r="885" spans="1:18" s="328" customFormat="1" ht="13.5" customHeight="1">
      <c r="A885" s="331"/>
      <c r="B885" s="331"/>
      <c r="C885" s="332"/>
      <c r="D885" s="331"/>
      <c r="E885" s="333"/>
      <c r="F885" s="271"/>
      <c r="G885" s="931"/>
      <c r="H885" s="931"/>
      <c r="I885" s="931"/>
      <c r="J885" s="931"/>
      <c r="K885" s="931"/>
      <c r="L885" s="931"/>
      <c r="M885" s="931"/>
      <c r="N885" s="931"/>
      <c r="O885" s="931"/>
      <c r="P885" s="931"/>
      <c r="Q885" s="931"/>
      <c r="R885" s="931"/>
    </row>
    <row r="886" spans="1:18" s="328" customFormat="1" ht="13.5" customHeight="1">
      <c r="A886" s="331"/>
      <c r="B886" s="331"/>
      <c r="C886" s="332"/>
      <c r="D886" s="331"/>
      <c r="E886" s="333"/>
      <c r="F886" s="271"/>
      <c r="G886" s="931"/>
      <c r="H886" s="931"/>
      <c r="I886" s="931"/>
      <c r="J886" s="931"/>
      <c r="K886" s="931"/>
      <c r="L886" s="931"/>
      <c r="M886" s="931"/>
      <c r="N886" s="931"/>
      <c r="O886" s="931"/>
      <c r="P886" s="931"/>
      <c r="Q886" s="931"/>
      <c r="R886" s="931"/>
    </row>
    <row r="887" spans="1:18" s="328" customFormat="1" ht="13.5" customHeight="1">
      <c r="A887" s="331"/>
      <c r="B887" s="331"/>
      <c r="C887" s="332"/>
      <c r="D887" s="331"/>
      <c r="E887" s="333"/>
      <c r="F887" s="271"/>
      <c r="G887" s="931"/>
      <c r="H887" s="931"/>
      <c r="I887" s="931"/>
      <c r="J887" s="931"/>
      <c r="K887" s="931"/>
      <c r="L887" s="931"/>
      <c r="M887" s="931"/>
      <c r="N887" s="931"/>
      <c r="O887" s="931"/>
      <c r="P887" s="931"/>
      <c r="Q887" s="931"/>
      <c r="R887" s="931"/>
    </row>
    <row r="888" spans="1:18" s="328" customFormat="1" ht="13.5" customHeight="1">
      <c r="A888" s="331"/>
      <c r="B888" s="331"/>
      <c r="C888" s="332"/>
      <c r="D888" s="331"/>
      <c r="E888" s="333"/>
      <c r="F888" s="271"/>
      <c r="G888" s="931"/>
      <c r="H888" s="931"/>
      <c r="I888" s="931"/>
      <c r="J888" s="931"/>
      <c r="K888" s="931"/>
      <c r="L888" s="931"/>
      <c r="M888" s="931"/>
      <c r="N888" s="931"/>
      <c r="O888" s="931"/>
      <c r="P888" s="931"/>
      <c r="Q888" s="931"/>
      <c r="R888" s="931"/>
    </row>
    <row r="889" spans="1:18" s="328" customFormat="1" ht="13.5" customHeight="1">
      <c r="A889" s="331"/>
      <c r="B889" s="331"/>
      <c r="C889" s="332"/>
      <c r="D889" s="331"/>
      <c r="E889" s="333"/>
      <c r="F889" s="271"/>
      <c r="G889" s="931"/>
      <c r="H889" s="931"/>
      <c r="I889" s="931"/>
      <c r="J889" s="931"/>
      <c r="K889" s="931"/>
      <c r="L889" s="931"/>
      <c r="M889" s="931"/>
      <c r="N889" s="931"/>
      <c r="O889" s="931"/>
      <c r="P889" s="931"/>
      <c r="Q889" s="931"/>
      <c r="R889" s="931"/>
    </row>
    <row r="890" spans="1:18" s="328" customFormat="1" ht="13.5" customHeight="1">
      <c r="A890" s="331"/>
      <c r="B890" s="331"/>
      <c r="C890" s="332"/>
      <c r="D890" s="331"/>
      <c r="E890" s="333"/>
      <c r="F890" s="271"/>
      <c r="G890" s="931"/>
      <c r="H890" s="931"/>
      <c r="I890" s="931"/>
      <c r="J890" s="931"/>
      <c r="K890" s="931"/>
      <c r="L890" s="931"/>
      <c r="M890" s="931"/>
      <c r="N890" s="931"/>
      <c r="O890" s="931"/>
      <c r="P890" s="931"/>
      <c r="Q890" s="931"/>
      <c r="R890" s="931"/>
    </row>
    <row r="891" spans="1:18" s="328" customFormat="1" ht="13.5" customHeight="1">
      <c r="A891" s="331"/>
      <c r="B891" s="331"/>
      <c r="C891" s="332"/>
      <c r="D891" s="331"/>
      <c r="E891" s="333"/>
      <c r="F891" s="271"/>
      <c r="G891" s="931"/>
      <c r="H891" s="931"/>
      <c r="I891" s="931"/>
      <c r="J891" s="931"/>
      <c r="K891" s="931"/>
      <c r="L891" s="931"/>
      <c r="M891" s="931"/>
      <c r="N891" s="931"/>
      <c r="O891" s="931"/>
      <c r="P891" s="931"/>
      <c r="Q891" s="931"/>
      <c r="R891" s="931"/>
    </row>
    <row r="892" spans="1:18" s="328" customFormat="1" ht="13.5" customHeight="1">
      <c r="A892" s="331"/>
      <c r="B892" s="331"/>
      <c r="C892" s="332"/>
      <c r="D892" s="331"/>
      <c r="E892" s="333"/>
      <c r="F892" s="271"/>
      <c r="G892" s="931"/>
      <c r="H892" s="931"/>
      <c r="I892" s="931"/>
      <c r="J892" s="931"/>
      <c r="K892" s="931"/>
      <c r="L892" s="931"/>
      <c r="M892" s="931"/>
      <c r="N892" s="931"/>
      <c r="O892" s="931"/>
      <c r="P892" s="931"/>
      <c r="Q892" s="931"/>
      <c r="R892" s="931"/>
    </row>
    <row r="893" spans="1:18" s="328" customFormat="1" ht="13.5" customHeight="1">
      <c r="A893" s="331"/>
      <c r="B893" s="331"/>
      <c r="C893" s="332"/>
      <c r="D893" s="331"/>
      <c r="E893" s="333"/>
      <c r="F893" s="271"/>
      <c r="G893" s="931"/>
      <c r="H893" s="931"/>
      <c r="I893" s="931"/>
      <c r="J893" s="931"/>
      <c r="K893" s="931"/>
      <c r="L893" s="931"/>
      <c r="M893" s="931"/>
      <c r="N893" s="931"/>
      <c r="O893" s="931"/>
      <c r="P893" s="931"/>
      <c r="Q893" s="931"/>
      <c r="R893" s="931"/>
    </row>
    <row r="894" spans="1:18" s="328" customFormat="1" ht="13.5" customHeight="1">
      <c r="A894" s="331"/>
      <c r="B894" s="331"/>
      <c r="C894" s="332"/>
      <c r="D894" s="331"/>
      <c r="E894" s="333"/>
      <c r="F894" s="271"/>
      <c r="G894" s="931"/>
      <c r="H894" s="931"/>
      <c r="I894" s="931"/>
      <c r="J894" s="931"/>
      <c r="K894" s="931"/>
      <c r="L894" s="931"/>
      <c r="M894" s="931"/>
      <c r="N894" s="931"/>
      <c r="O894" s="931"/>
      <c r="P894" s="931"/>
      <c r="Q894" s="931"/>
      <c r="R894" s="931"/>
    </row>
    <row r="895" spans="1:18" s="328" customFormat="1" ht="13.5" customHeight="1">
      <c r="A895" s="331"/>
      <c r="B895" s="331"/>
      <c r="C895" s="332"/>
      <c r="D895" s="331"/>
      <c r="E895" s="333"/>
      <c r="F895" s="271"/>
      <c r="G895" s="931"/>
      <c r="H895" s="931"/>
      <c r="I895" s="931"/>
      <c r="J895" s="931"/>
      <c r="K895" s="931"/>
      <c r="L895" s="931"/>
      <c r="M895" s="931"/>
      <c r="N895" s="931"/>
      <c r="O895" s="931"/>
      <c r="P895" s="931"/>
      <c r="Q895" s="931"/>
      <c r="R895" s="931"/>
    </row>
    <row r="896" spans="1:18" s="328" customFormat="1" ht="13.5" customHeight="1">
      <c r="A896" s="331"/>
      <c r="B896" s="331"/>
      <c r="C896" s="332"/>
      <c r="D896" s="331"/>
      <c r="E896" s="333"/>
      <c r="F896" s="271"/>
      <c r="G896" s="931"/>
      <c r="H896" s="931"/>
      <c r="I896" s="931"/>
      <c r="J896" s="931"/>
      <c r="K896" s="931"/>
      <c r="L896" s="931"/>
      <c r="M896" s="931"/>
      <c r="N896" s="931"/>
      <c r="O896" s="931"/>
      <c r="P896" s="931"/>
      <c r="Q896" s="931"/>
      <c r="R896" s="931"/>
    </row>
    <row r="897" spans="1:18" s="328" customFormat="1" ht="13.5" customHeight="1">
      <c r="A897" s="331"/>
      <c r="B897" s="331"/>
      <c r="C897" s="332"/>
      <c r="D897" s="331"/>
      <c r="E897" s="333"/>
      <c r="F897" s="271"/>
      <c r="G897" s="931"/>
      <c r="H897" s="931"/>
      <c r="I897" s="931"/>
      <c r="J897" s="931"/>
      <c r="K897" s="931"/>
      <c r="L897" s="931"/>
      <c r="M897" s="931"/>
      <c r="N897" s="931"/>
      <c r="O897" s="931"/>
      <c r="P897" s="931"/>
      <c r="Q897" s="931"/>
      <c r="R897" s="931"/>
    </row>
    <row r="898" spans="1:18" s="328" customFormat="1" ht="13.5" customHeight="1">
      <c r="A898" s="331"/>
      <c r="B898" s="331"/>
      <c r="C898" s="332"/>
      <c r="D898" s="331"/>
      <c r="E898" s="333"/>
      <c r="F898" s="271"/>
      <c r="G898" s="931"/>
      <c r="H898" s="931"/>
      <c r="I898" s="931"/>
      <c r="J898" s="931"/>
      <c r="K898" s="931"/>
      <c r="L898" s="931"/>
      <c r="M898" s="931"/>
      <c r="N898" s="931"/>
      <c r="O898" s="931"/>
      <c r="P898" s="931"/>
      <c r="Q898" s="931"/>
      <c r="R898" s="931"/>
    </row>
    <row r="899" spans="1:18" s="328" customFormat="1" ht="13.5" customHeight="1">
      <c r="A899" s="331"/>
      <c r="B899" s="331"/>
      <c r="C899" s="332"/>
      <c r="D899" s="331"/>
      <c r="E899" s="333"/>
      <c r="F899" s="271"/>
      <c r="G899" s="931"/>
      <c r="H899" s="931"/>
      <c r="I899" s="931"/>
      <c r="J899" s="931"/>
      <c r="K899" s="931"/>
      <c r="L899" s="931"/>
      <c r="M899" s="931"/>
      <c r="N899" s="931"/>
      <c r="O899" s="931"/>
      <c r="P899" s="931"/>
      <c r="Q899" s="931"/>
      <c r="R899" s="931"/>
    </row>
    <row r="900" spans="1:18" s="328" customFormat="1" ht="13.5" customHeight="1">
      <c r="A900" s="331"/>
      <c r="B900" s="331"/>
      <c r="C900" s="332"/>
      <c r="D900" s="331"/>
      <c r="E900" s="333"/>
      <c r="F900" s="271"/>
      <c r="G900" s="931"/>
      <c r="H900" s="931"/>
      <c r="I900" s="931"/>
      <c r="J900" s="931"/>
      <c r="K900" s="931"/>
      <c r="L900" s="931"/>
      <c r="M900" s="931"/>
      <c r="N900" s="931"/>
      <c r="O900" s="931"/>
      <c r="P900" s="931"/>
      <c r="Q900" s="931"/>
      <c r="R900" s="931"/>
    </row>
    <row r="901" spans="1:18" s="328" customFormat="1" ht="13.5" customHeight="1">
      <c r="A901" s="331"/>
      <c r="B901" s="331"/>
      <c r="C901" s="332"/>
      <c r="D901" s="331"/>
      <c r="E901" s="333"/>
      <c r="F901" s="271"/>
      <c r="G901" s="931"/>
      <c r="H901" s="931"/>
      <c r="I901" s="931"/>
      <c r="J901" s="931"/>
      <c r="K901" s="931"/>
      <c r="L901" s="931"/>
      <c r="M901" s="931"/>
      <c r="N901" s="931"/>
      <c r="O901" s="931"/>
      <c r="P901" s="931"/>
      <c r="Q901" s="931"/>
      <c r="R901" s="931"/>
    </row>
    <row r="902" spans="1:18" s="328" customFormat="1" ht="13.5" customHeight="1">
      <c r="A902" s="331"/>
      <c r="B902" s="331"/>
      <c r="C902" s="332"/>
      <c r="D902" s="331"/>
      <c r="E902" s="333"/>
      <c r="F902" s="271"/>
      <c r="G902" s="931"/>
      <c r="H902" s="931"/>
      <c r="I902" s="931"/>
      <c r="J902" s="931"/>
      <c r="K902" s="931"/>
      <c r="L902" s="931"/>
      <c r="M902" s="931"/>
      <c r="N902" s="931"/>
      <c r="O902" s="931"/>
      <c r="P902" s="931"/>
      <c r="Q902" s="931"/>
      <c r="R902" s="931"/>
    </row>
    <row r="903" spans="1:18" s="328" customFormat="1" ht="13.5" customHeight="1">
      <c r="A903" s="331"/>
      <c r="B903" s="331"/>
      <c r="C903" s="332"/>
      <c r="D903" s="331"/>
      <c r="E903" s="333"/>
      <c r="F903" s="271"/>
      <c r="G903" s="931"/>
      <c r="H903" s="931"/>
      <c r="I903" s="931"/>
      <c r="J903" s="931"/>
      <c r="K903" s="931"/>
      <c r="L903" s="931"/>
      <c r="M903" s="931"/>
      <c r="N903" s="931"/>
      <c r="O903" s="931"/>
      <c r="P903" s="931"/>
      <c r="Q903" s="931"/>
      <c r="R903" s="931"/>
    </row>
    <row r="904" spans="1:18" s="328" customFormat="1" ht="13.5" customHeight="1">
      <c r="A904" s="331"/>
      <c r="B904" s="331"/>
      <c r="C904" s="332"/>
      <c r="D904" s="331"/>
      <c r="E904" s="333"/>
      <c r="F904" s="271"/>
      <c r="G904" s="931"/>
      <c r="H904" s="931"/>
      <c r="I904" s="931"/>
      <c r="J904" s="931"/>
      <c r="K904" s="931"/>
      <c r="L904" s="931"/>
      <c r="M904" s="931"/>
      <c r="N904" s="931"/>
      <c r="O904" s="931"/>
      <c r="P904" s="931"/>
      <c r="Q904" s="931"/>
      <c r="R904" s="931"/>
    </row>
    <row r="905" spans="1:18" s="328" customFormat="1" ht="13.5" customHeight="1">
      <c r="A905" s="331"/>
      <c r="B905" s="331"/>
      <c r="C905" s="332"/>
      <c r="D905" s="331"/>
      <c r="E905" s="333"/>
      <c r="F905" s="271"/>
      <c r="G905" s="931"/>
      <c r="H905" s="931"/>
      <c r="I905" s="931"/>
      <c r="J905" s="931"/>
      <c r="K905" s="931"/>
      <c r="L905" s="931"/>
      <c r="M905" s="931"/>
      <c r="N905" s="931"/>
      <c r="O905" s="931"/>
      <c r="P905" s="931"/>
      <c r="Q905" s="931"/>
      <c r="R905" s="931"/>
    </row>
    <row r="906" spans="1:18" s="328" customFormat="1" ht="13.5" customHeight="1">
      <c r="A906" s="331"/>
      <c r="B906" s="331"/>
      <c r="C906" s="332"/>
      <c r="D906" s="331"/>
      <c r="E906" s="333"/>
      <c r="F906" s="271"/>
      <c r="G906" s="931"/>
      <c r="H906" s="931"/>
      <c r="I906" s="931"/>
      <c r="J906" s="931"/>
      <c r="K906" s="931"/>
      <c r="L906" s="931"/>
      <c r="M906" s="931"/>
      <c r="N906" s="931"/>
      <c r="O906" s="931"/>
      <c r="P906" s="931"/>
      <c r="Q906" s="931"/>
      <c r="R906" s="931"/>
    </row>
    <row r="907" spans="1:18" s="328" customFormat="1" ht="13.5" customHeight="1">
      <c r="A907" s="331"/>
      <c r="B907" s="331"/>
      <c r="C907" s="332"/>
      <c r="D907" s="331"/>
      <c r="E907" s="333"/>
      <c r="F907" s="271"/>
      <c r="G907" s="931"/>
      <c r="H907" s="931"/>
      <c r="I907" s="931"/>
      <c r="J907" s="931"/>
      <c r="K907" s="931"/>
      <c r="L907" s="931"/>
      <c r="M907" s="931"/>
      <c r="N907" s="931"/>
      <c r="O907" s="931"/>
      <c r="P907" s="931"/>
      <c r="Q907" s="931"/>
      <c r="R907" s="931"/>
    </row>
    <row r="908" spans="1:18" s="328" customFormat="1" ht="13.5" customHeight="1">
      <c r="A908" s="331"/>
      <c r="B908" s="331"/>
      <c r="C908" s="332"/>
      <c r="D908" s="331"/>
      <c r="E908" s="333"/>
      <c r="F908" s="271"/>
      <c r="G908" s="931"/>
      <c r="H908" s="931"/>
      <c r="I908" s="931"/>
      <c r="J908" s="931"/>
      <c r="K908" s="931"/>
      <c r="L908" s="931"/>
      <c r="M908" s="931"/>
      <c r="N908" s="931"/>
      <c r="O908" s="931"/>
      <c r="P908" s="931"/>
      <c r="Q908" s="931"/>
      <c r="R908" s="931"/>
    </row>
    <row r="909" spans="1:18" s="328" customFormat="1" ht="13.5" customHeight="1">
      <c r="A909" s="331"/>
      <c r="B909" s="331"/>
      <c r="C909" s="332"/>
      <c r="D909" s="331"/>
      <c r="E909" s="333"/>
      <c r="F909" s="271"/>
      <c r="G909" s="931"/>
      <c r="H909" s="931"/>
      <c r="I909" s="931"/>
      <c r="J909" s="931"/>
      <c r="K909" s="931"/>
      <c r="L909" s="931"/>
      <c r="M909" s="931"/>
      <c r="N909" s="931"/>
      <c r="O909" s="931"/>
      <c r="P909" s="931"/>
      <c r="Q909" s="931"/>
      <c r="R909" s="931"/>
    </row>
    <row r="910" spans="1:18" s="328" customFormat="1" ht="13.5" customHeight="1">
      <c r="A910" s="331"/>
      <c r="B910" s="331"/>
      <c r="C910" s="332"/>
      <c r="D910" s="331"/>
      <c r="E910" s="333"/>
      <c r="F910" s="271"/>
      <c r="G910" s="931"/>
      <c r="H910" s="931"/>
      <c r="I910" s="931"/>
      <c r="J910" s="931"/>
      <c r="K910" s="931"/>
      <c r="L910" s="931"/>
      <c r="M910" s="931"/>
      <c r="N910" s="931"/>
      <c r="O910" s="931"/>
      <c r="P910" s="931"/>
      <c r="Q910" s="931"/>
      <c r="R910" s="931"/>
    </row>
    <row r="911" spans="1:18" s="328" customFormat="1" ht="13.5" customHeight="1">
      <c r="A911" s="331"/>
      <c r="B911" s="331"/>
      <c r="C911" s="332"/>
      <c r="D911" s="331"/>
      <c r="E911" s="333"/>
      <c r="F911" s="271"/>
      <c r="G911" s="931"/>
      <c r="H911" s="931"/>
      <c r="I911" s="931"/>
      <c r="J911" s="931"/>
      <c r="K911" s="931"/>
      <c r="L911" s="931"/>
      <c r="M911" s="931"/>
      <c r="N911" s="931"/>
      <c r="O911" s="931"/>
      <c r="P911" s="931"/>
      <c r="Q911" s="931"/>
      <c r="R911" s="931"/>
    </row>
    <row r="912" spans="1:18" s="328" customFormat="1" ht="13.5" customHeight="1">
      <c r="A912" s="331"/>
      <c r="B912" s="331"/>
      <c r="C912" s="332"/>
      <c r="D912" s="331"/>
      <c r="E912" s="333"/>
      <c r="F912" s="271"/>
      <c r="G912" s="931"/>
      <c r="H912" s="931"/>
      <c r="I912" s="931"/>
      <c r="J912" s="931"/>
      <c r="K912" s="931"/>
      <c r="L912" s="931"/>
      <c r="M912" s="931"/>
      <c r="N912" s="931"/>
      <c r="O912" s="931"/>
      <c r="P912" s="931"/>
      <c r="Q912" s="931"/>
      <c r="R912" s="931"/>
    </row>
    <row r="913" spans="1:18" s="328" customFormat="1" ht="13.5" customHeight="1">
      <c r="A913" s="331"/>
      <c r="B913" s="331"/>
      <c r="C913" s="332"/>
      <c r="D913" s="331"/>
      <c r="E913" s="333"/>
      <c r="F913" s="271"/>
      <c r="G913" s="931"/>
      <c r="H913" s="931"/>
      <c r="I913" s="931"/>
      <c r="J913" s="931"/>
      <c r="K913" s="931"/>
      <c r="L913" s="931"/>
      <c r="M913" s="931"/>
      <c r="N913" s="931"/>
      <c r="O913" s="931"/>
      <c r="P913" s="931"/>
      <c r="Q913" s="931"/>
      <c r="R913" s="931"/>
    </row>
    <row r="914" spans="1:18" s="328" customFormat="1" ht="13.5" customHeight="1">
      <c r="A914" s="331"/>
      <c r="B914" s="331"/>
      <c r="C914" s="332"/>
      <c r="D914" s="331"/>
      <c r="E914" s="333"/>
      <c r="F914" s="271"/>
      <c r="G914" s="931"/>
      <c r="H914" s="931"/>
      <c r="I914" s="931"/>
      <c r="J914" s="931"/>
      <c r="K914" s="931"/>
      <c r="L914" s="931"/>
      <c r="M914" s="931"/>
      <c r="N914" s="931"/>
      <c r="O914" s="931"/>
      <c r="P914" s="931"/>
      <c r="Q914" s="931"/>
      <c r="R914" s="931"/>
    </row>
    <row r="915" spans="1:18" s="328" customFormat="1" ht="13.5" customHeight="1">
      <c r="A915" s="331"/>
      <c r="B915" s="331"/>
      <c r="C915" s="332"/>
      <c r="D915" s="331"/>
      <c r="E915" s="333"/>
      <c r="F915" s="271"/>
      <c r="G915" s="931"/>
      <c r="H915" s="931"/>
      <c r="I915" s="931"/>
      <c r="J915" s="931"/>
      <c r="K915" s="931"/>
      <c r="L915" s="931"/>
      <c r="M915" s="931"/>
      <c r="N915" s="931"/>
      <c r="O915" s="931"/>
      <c r="P915" s="931"/>
      <c r="Q915" s="931"/>
      <c r="R915" s="931"/>
    </row>
    <row r="916" spans="1:18" s="328" customFormat="1" ht="13.5" customHeight="1">
      <c r="A916" s="331"/>
      <c r="B916" s="331"/>
      <c r="C916" s="332"/>
      <c r="D916" s="331"/>
      <c r="E916" s="333"/>
      <c r="F916" s="271"/>
      <c r="G916" s="931"/>
      <c r="H916" s="931"/>
      <c r="I916" s="931"/>
      <c r="J916" s="931"/>
      <c r="K916" s="931"/>
      <c r="L916" s="931"/>
      <c r="M916" s="931"/>
      <c r="N916" s="931"/>
      <c r="O916" s="931"/>
      <c r="P916" s="931"/>
      <c r="Q916" s="931"/>
      <c r="R916" s="931"/>
    </row>
    <row r="917" spans="1:18" s="328" customFormat="1" ht="13.5" customHeight="1">
      <c r="A917" s="331"/>
      <c r="B917" s="331"/>
      <c r="C917" s="332"/>
      <c r="D917" s="331"/>
      <c r="E917" s="333"/>
      <c r="F917" s="271"/>
      <c r="G917" s="931"/>
      <c r="H917" s="931"/>
      <c r="I917" s="931"/>
      <c r="J917" s="931"/>
      <c r="K917" s="931"/>
      <c r="L917" s="931"/>
      <c r="M917" s="931"/>
      <c r="N917" s="931"/>
      <c r="O917" s="931"/>
      <c r="P917" s="931"/>
      <c r="Q917" s="931"/>
      <c r="R917" s="931"/>
    </row>
    <row r="918" spans="1:18" s="328" customFormat="1" ht="13.5" customHeight="1">
      <c r="A918" s="331"/>
      <c r="B918" s="331"/>
      <c r="C918" s="332"/>
      <c r="D918" s="331"/>
      <c r="E918" s="333"/>
      <c r="F918" s="271"/>
      <c r="G918" s="931"/>
      <c r="H918" s="931"/>
      <c r="I918" s="931"/>
      <c r="J918" s="931"/>
      <c r="K918" s="931"/>
      <c r="L918" s="931"/>
      <c r="M918" s="931"/>
      <c r="N918" s="931"/>
      <c r="O918" s="931"/>
      <c r="P918" s="931"/>
      <c r="Q918" s="931"/>
      <c r="R918" s="931"/>
    </row>
    <row r="919" spans="1:18" s="328" customFormat="1" ht="13.5" customHeight="1">
      <c r="A919" s="331"/>
      <c r="B919" s="331"/>
      <c r="C919" s="332"/>
      <c r="D919" s="331"/>
      <c r="E919" s="333"/>
      <c r="F919" s="271"/>
      <c r="G919" s="931"/>
      <c r="H919" s="931"/>
      <c r="I919" s="931"/>
      <c r="J919" s="931"/>
      <c r="K919" s="931"/>
      <c r="L919" s="931"/>
      <c r="M919" s="931"/>
      <c r="N919" s="931"/>
      <c r="O919" s="931"/>
      <c r="P919" s="931"/>
      <c r="Q919" s="931"/>
      <c r="R919" s="931"/>
    </row>
    <row r="920" spans="1:18" s="328" customFormat="1" ht="13.5" customHeight="1">
      <c r="A920" s="331"/>
      <c r="B920" s="331"/>
      <c r="C920" s="332"/>
      <c r="D920" s="331"/>
      <c r="E920" s="333"/>
      <c r="F920" s="271"/>
      <c r="G920" s="931"/>
      <c r="H920" s="931"/>
      <c r="I920" s="931"/>
      <c r="J920" s="931"/>
      <c r="K920" s="931"/>
      <c r="L920" s="931"/>
      <c r="M920" s="931"/>
      <c r="N920" s="931"/>
      <c r="O920" s="931"/>
      <c r="P920" s="931"/>
      <c r="Q920" s="931"/>
      <c r="R920" s="931"/>
    </row>
    <row r="921" spans="1:18" s="328" customFormat="1" ht="13.5" customHeight="1">
      <c r="A921" s="331"/>
      <c r="B921" s="331"/>
      <c r="C921" s="332"/>
      <c r="D921" s="331"/>
      <c r="E921" s="333"/>
      <c r="F921" s="271"/>
      <c r="G921" s="931"/>
      <c r="H921" s="931"/>
      <c r="I921" s="931"/>
      <c r="J921" s="931"/>
      <c r="K921" s="931"/>
      <c r="L921" s="931"/>
      <c r="M921" s="931"/>
      <c r="N921" s="931"/>
      <c r="O921" s="931"/>
      <c r="P921" s="931"/>
      <c r="Q921" s="931"/>
      <c r="R921" s="931"/>
    </row>
    <row r="922" spans="1:18" s="328" customFormat="1" ht="13.5" customHeight="1">
      <c r="A922" s="331"/>
      <c r="B922" s="331"/>
      <c r="C922" s="332"/>
      <c r="D922" s="331"/>
      <c r="E922" s="333"/>
      <c r="F922" s="271"/>
      <c r="G922" s="931"/>
      <c r="H922" s="931"/>
      <c r="I922" s="931"/>
      <c r="J922" s="931"/>
      <c r="K922" s="931"/>
      <c r="L922" s="931"/>
      <c r="M922" s="931"/>
      <c r="N922" s="931"/>
      <c r="O922" s="931"/>
      <c r="P922" s="931"/>
      <c r="Q922" s="931"/>
      <c r="R922" s="931"/>
    </row>
    <row r="923" spans="1:18" s="328" customFormat="1" ht="13.5" customHeight="1">
      <c r="A923" s="331"/>
      <c r="B923" s="331"/>
      <c r="C923" s="332"/>
      <c r="D923" s="331"/>
      <c r="E923" s="333"/>
      <c r="F923" s="271"/>
      <c r="G923" s="931"/>
      <c r="H923" s="931"/>
      <c r="I923" s="931"/>
      <c r="J923" s="931"/>
      <c r="K923" s="931"/>
      <c r="L923" s="931"/>
      <c r="M923" s="931"/>
      <c r="N923" s="931"/>
      <c r="O923" s="931"/>
      <c r="P923" s="931"/>
      <c r="Q923" s="931"/>
      <c r="R923" s="931"/>
    </row>
    <row r="924" spans="1:18" s="328" customFormat="1" ht="13.5" customHeight="1">
      <c r="A924" s="331"/>
      <c r="B924" s="331"/>
      <c r="C924" s="332"/>
      <c r="D924" s="331"/>
      <c r="E924" s="333"/>
      <c r="F924" s="271"/>
      <c r="G924" s="931"/>
      <c r="H924" s="931"/>
      <c r="I924" s="931"/>
      <c r="J924" s="931"/>
      <c r="K924" s="931"/>
      <c r="L924" s="931"/>
      <c r="M924" s="931"/>
      <c r="N924" s="931"/>
      <c r="O924" s="931"/>
      <c r="P924" s="931"/>
      <c r="Q924" s="931"/>
      <c r="R924" s="931"/>
    </row>
    <row r="925" spans="1:18" s="328" customFormat="1" ht="13.5" customHeight="1">
      <c r="A925" s="331"/>
      <c r="B925" s="331"/>
      <c r="C925" s="332"/>
      <c r="D925" s="331"/>
      <c r="E925" s="333"/>
      <c r="F925" s="271"/>
      <c r="G925" s="931"/>
      <c r="H925" s="931"/>
      <c r="I925" s="931"/>
      <c r="J925" s="931"/>
      <c r="K925" s="931"/>
      <c r="L925" s="931"/>
      <c r="M925" s="931"/>
      <c r="N925" s="931"/>
      <c r="O925" s="931"/>
      <c r="P925" s="931"/>
      <c r="Q925" s="931"/>
      <c r="R925" s="931"/>
    </row>
    <row r="926" spans="1:18" s="328" customFormat="1" ht="13.5" customHeight="1">
      <c r="A926" s="331"/>
      <c r="B926" s="331"/>
      <c r="C926" s="332"/>
      <c r="D926" s="331"/>
      <c r="E926" s="333"/>
      <c r="F926" s="271"/>
      <c r="G926" s="931"/>
      <c r="H926" s="931"/>
      <c r="I926" s="931"/>
      <c r="J926" s="931"/>
      <c r="K926" s="931"/>
      <c r="L926" s="931"/>
      <c r="M926" s="931"/>
      <c r="N926" s="931"/>
      <c r="O926" s="931"/>
      <c r="P926" s="931"/>
      <c r="Q926" s="931"/>
      <c r="R926" s="931"/>
    </row>
    <row r="927" spans="1:18" s="328" customFormat="1" ht="13.5" customHeight="1">
      <c r="A927" s="331"/>
      <c r="B927" s="331"/>
      <c r="C927" s="332"/>
      <c r="D927" s="331"/>
      <c r="E927" s="333"/>
      <c r="F927" s="271"/>
      <c r="G927" s="931"/>
      <c r="H927" s="931"/>
      <c r="I927" s="931"/>
      <c r="J927" s="931"/>
      <c r="K927" s="931"/>
      <c r="L927" s="931"/>
      <c r="M927" s="931"/>
      <c r="N927" s="931"/>
      <c r="O927" s="931"/>
      <c r="P927" s="931"/>
      <c r="Q927" s="931"/>
      <c r="R927" s="931"/>
    </row>
    <row r="928" spans="1:18" s="328" customFormat="1" ht="13.5" customHeight="1">
      <c r="A928" s="331"/>
      <c r="B928" s="331"/>
      <c r="C928" s="332"/>
      <c r="D928" s="331"/>
      <c r="E928" s="333"/>
      <c r="F928" s="271"/>
      <c r="G928" s="931"/>
      <c r="H928" s="931"/>
      <c r="I928" s="931"/>
      <c r="J928" s="931"/>
      <c r="K928" s="931"/>
      <c r="L928" s="931"/>
      <c r="M928" s="931"/>
      <c r="N928" s="931"/>
      <c r="O928" s="931"/>
      <c r="P928" s="931"/>
      <c r="Q928" s="931"/>
      <c r="R928" s="931"/>
    </row>
    <row r="929" spans="1:18" s="328" customFormat="1" ht="13.5" customHeight="1">
      <c r="A929" s="331"/>
      <c r="B929" s="331"/>
      <c r="C929" s="332"/>
      <c r="D929" s="331"/>
      <c r="E929" s="333"/>
      <c r="F929" s="271"/>
      <c r="G929" s="931"/>
      <c r="H929" s="931"/>
      <c r="I929" s="931"/>
      <c r="J929" s="931"/>
      <c r="K929" s="931"/>
      <c r="L929" s="931"/>
      <c r="M929" s="931"/>
      <c r="N929" s="931"/>
      <c r="O929" s="931"/>
      <c r="P929" s="931"/>
      <c r="Q929" s="931"/>
      <c r="R929" s="931"/>
    </row>
    <row r="930" spans="1:18" s="328" customFormat="1" ht="13.5" customHeight="1">
      <c r="A930" s="331"/>
      <c r="B930" s="331"/>
      <c r="C930" s="332"/>
      <c r="D930" s="331"/>
      <c r="E930" s="333"/>
      <c r="F930" s="271"/>
      <c r="G930" s="931"/>
      <c r="H930" s="931"/>
      <c r="I930" s="931"/>
      <c r="J930" s="931"/>
      <c r="K930" s="931"/>
      <c r="L930" s="931"/>
      <c r="M930" s="931"/>
      <c r="N930" s="931"/>
      <c r="O930" s="931"/>
      <c r="P930" s="931"/>
      <c r="Q930" s="931"/>
      <c r="R930" s="931"/>
    </row>
    <row r="931" spans="1:18" s="328" customFormat="1" ht="13.5" customHeight="1">
      <c r="A931" s="331"/>
      <c r="B931" s="331"/>
      <c r="C931" s="332"/>
      <c r="D931" s="331"/>
      <c r="E931" s="333"/>
      <c r="F931" s="271"/>
      <c r="G931" s="931"/>
      <c r="H931" s="931"/>
      <c r="I931" s="931"/>
      <c r="J931" s="931"/>
      <c r="K931" s="931"/>
      <c r="L931" s="931"/>
      <c r="M931" s="931"/>
      <c r="N931" s="931"/>
      <c r="O931" s="931"/>
      <c r="P931" s="931"/>
      <c r="Q931" s="931"/>
      <c r="R931" s="931"/>
    </row>
    <row r="932" spans="1:18" s="328" customFormat="1" ht="13.5" customHeight="1">
      <c r="A932" s="331"/>
      <c r="B932" s="331"/>
      <c r="C932" s="332"/>
      <c r="D932" s="331"/>
      <c r="E932" s="333"/>
      <c r="F932" s="271"/>
      <c r="G932" s="931"/>
      <c r="H932" s="931"/>
      <c r="I932" s="931"/>
      <c r="J932" s="931"/>
      <c r="K932" s="931"/>
      <c r="L932" s="931"/>
      <c r="M932" s="931"/>
      <c r="N932" s="931"/>
      <c r="O932" s="931"/>
      <c r="P932" s="931"/>
      <c r="Q932" s="931"/>
      <c r="R932" s="931"/>
    </row>
    <row r="933" spans="1:18" s="328" customFormat="1" ht="13.5" customHeight="1">
      <c r="A933" s="331"/>
      <c r="B933" s="331"/>
      <c r="C933" s="332"/>
      <c r="D933" s="331"/>
      <c r="E933" s="333"/>
      <c r="F933" s="271"/>
      <c r="G933" s="931"/>
      <c r="H933" s="931"/>
      <c r="I933" s="931"/>
      <c r="J933" s="931"/>
      <c r="K933" s="931"/>
      <c r="L933" s="931"/>
      <c r="M933" s="931"/>
      <c r="N933" s="931"/>
      <c r="O933" s="931"/>
      <c r="P933" s="931"/>
      <c r="Q933" s="931"/>
      <c r="R933" s="931"/>
    </row>
    <row r="934" spans="1:18" s="328" customFormat="1" ht="13.5" customHeight="1">
      <c r="A934" s="331"/>
      <c r="B934" s="331"/>
      <c r="C934" s="332"/>
      <c r="D934" s="331"/>
      <c r="E934" s="333"/>
      <c r="F934" s="271"/>
      <c r="G934" s="931"/>
      <c r="H934" s="931"/>
      <c r="I934" s="931"/>
      <c r="J934" s="931"/>
      <c r="K934" s="931"/>
      <c r="L934" s="931"/>
      <c r="M934" s="931"/>
      <c r="N934" s="931"/>
      <c r="O934" s="931"/>
      <c r="P934" s="931"/>
      <c r="Q934" s="931"/>
      <c r="R934" s="931"/>
    </row>
    <row r="935" spans="1:18" s="328" customFormat="1" ht="13.5" customHeight="1">
      <c r="A935" s="331"/>
      <c r="B935" s="331"/>
      <c r="C935" s="332"/>
      <c r="D935" s="331"/>
      <c r="E935" s="333"/>
      <c r="F935" s="271"/>
      <c r="G935" s="931"/>
      <c r="H935" s="931"/>
      <c r="I935" s="931"/>
      <c r="J935" s="931"/>
      <c r="K935" s="931"/>
      <c r="L935" s="931"/>
      <c r="M935" s="931"/>
      <c r="N935" s="931"/>
      <c r="O935" s="931"/>
      <c r="P935" s="931"/>
      <c r="Q935" s="931"/>
      <c r="R935" s="931"/>
    </row>
    <row r="936" spans="1:18" s="328" customFormat="1" ht="13.5" customHeight="1">
      <c r="A936" s="331"/>
      <c r="B936" s="331"/>
      <c r="C936" s="332"/>
      <c r="D936" s="331"/>
      <c r="E936" s="333"/>
      <c r="F936" s="271"/>
      <c r="G936" s="931"/>
      <c r="H936" s="931"/>
      <c r="I936" s="931"/>
      <c r="J936" s="931"/>
      <c r="K936" s="931"/>
      <c r="L936" s="931"/>
      <c r="M936" s="931"/>
      <c r="N936" s="931"/>
      <c r="O936" s="931"/>
      <c r="P936" s="931"/>
      <c r="Q936" s="931"/>
      <c r="R936" s="931"/>
    </row>
    <row r="937" spans="1:18" s="328" customFormat="1" ht="13.5" customHeight="1">
      <c r="A937" s="331"/>
      <c r="B937" s="331"/>
      <c r="C937" s="332"/>
      <c r="D937" s="331"/>
      <c r="E937" s="333"/>
      <c r="F937" s="271"/>
      <c r="G937" s="931"/>
      <c r="H937" s="931"/>
      <c r="I937" s="931"/>
      <c r="J937" s="931"/>
      <c r="K937" s="931"/>
      <c r="L937" s="931"/>
      <c r="M937" s="931"/>
      <c r="N937" s="931"/>
      <c r="O937" s="931"/>
      <c r="P937" s="931"/>
      <c r="Q937" s="931"/>
      <c r="R937" s="931"/>
    </row>
    <row r="938" spans="1:18" s="328" customFormat="1" ht="13.5" customHeight="1">
      <c r="A938" s="331"/>
      <c r="B938" s="331"/>
      <c r="C938" s="332"/>
      <c r="D938" s="331"/>
      <c r="E938" s="333"/>
      <c r="F938" s="271"/>
      <c r="G938" s="931"/>
      <c r="H938" s="931"/>
      <c r="I938" s="931"/>
      <c r="J938" s="931"/>
      <c r="K938" s="931"/>
      <c r="L938" s="931"/>
      <c r="M938" s="931"/>
      <c r="N938" s="931"/>
      <c r="O938" s="931"/>
      <c r="P938" s="931"/>
      <c r="Q938" s="931"/>
      <c r="R938" s="931"/>
    </row>
    <row r="939" spans="1:18" s="328" customFormat="1" ht="13.5" customHeight="1">
      <c r="A939" s="331"/>
      <c r="B939" s="331"/>
      <c r="C939" s="332"/>
      <c r="D939" s="331"/>
      <c r="E939" s="333"/>
      <c r="F939" s="271"/>
      <c r="G939" s="931"/>
      <c r="H939" s="931"/>
      <c r="I939" s="931"/>
      <c r="J939" s="931"/>
      <c r="K939" s="931"/>
      <c r="L939" s="931"/>
      <c r="M939" s="931"/>
      <c r="N939" s="931"/>
      <c r="O939" s="931"/>
      <c r="P939" s="931"/>
      <c r="Q939" s="931"/>
      <c r="R939" s="931"/>
    </row>
    <row r="940" spans="1:18" s="328" customFormat="1" ht="13.5" customHeight="1">
      <c r="A940" s="331"/>
      <c r="B940" s="331"/>
      <c r="C940" s="332"/>
      <c r="D940" s="331"/>
      <c r="E940" s="333"/>
      <c r="F940" s="271"/>
      <c r="G940" s="931"/>
      <c r="H940" s="931"/>
      <c r="I940" s="931"/>
      <c r="J940" s="931"/>
      <c r="K940" s="931"/>
      <c r="L940" s="931"/>
      <c r="M940" s="931"/>
      <c r="N940" s="931"/>
      <c r="O940" s="931"/>
      <c r="P940" s="931"/>
      <c r="Q940" s="931"/>
      <c r="R940" s="931"/>
    </row>
    <row r="941" spans="1:18" s="328" customFormat="1" ht="13.5" customHeight="1">
      <c r="A941" s="331"/>
      <c r="B941" s="331"/>
      <c r="C941" s="332"/>
      <c r="D941" s="331"/>
      <c r="E941" s="333"/>
      <c r="F941" s="271"/>
      <c r="G941" s="931"/>
      <c r="H941" s="931"/>
      <c r="I941" s="931"/>
      <c r="J941" s="931"/>
      <c r="K941" s="931"/>
      <c r="L941" s="931"/>
      <c r="M941" s="931"/>
      <c r="N941" s="931"/>
      <c r="O941" s="931"/>
      <c r="P941" s="931"/>
      <c r="Q941" s="931"/>
      <c r="R941" s="931"/>
    </row>
    <row r="942" spans="1:18" s="328" customFormat="1" ht="13.5" customHeight="1">
      <c r="A942" s="331"/>
      <c r="B942" s="331"/>
      <c r="C942" s="332"/>
      <c r="D942" s="331"/>
      <c r="E942" s="333"/>
      <c r="F942" s="271"/>
      <c r="G942" s="931"/>
      <c r="H942" s="931"/>
      <c r="I942" s="931"/>
      <c r="J942" s="931"/>
      <c r="K942" s="931"/>
      <c r="L942" s="931"/>
      <c r="M942" s="931"/>
      <c r="N942" s="931"/>
      <c r="O942" s="931"/>
      <c r="P942" s="931"/>
      <c r="Q942" s="931"/>
      <c r="R942" s="931"/>
    </row>
    <row r="943" spans="1:18" s="328" customFormat="1" ht="13.5" customHeight="1">
      <c r="A943" s="331"/>
      <c r="B943" s="331"/>
      <c r="C943" s="332"/>
      <c r="D943" s="331"/>
      <c r="E943" s="333"/>
      <c r="F943" s="271"/>
      <c r="G943" s="931"/>
      <c r="H943" s="931"/>
      <c r="I943" s="931"/>
      <c r="J943" s="931"/>
      <c r="K943" s="931"/>
      <c r="L943" s="931"/>
      <c r="M943" s="931"/>
      <c r="N943" s="931"/>
      <c r="O943" s="931"/>
      <c r="P943" s="931"/>
      <c r="Q943" s="931"/>
      <c r="R943" s="931"/>
    </row>
    <row r="944" spans="1:18" s="328" customFormat="1" ht="13.5" customHeight="1">
      <c r="A944" s="331"/>
      <c r="B944" s="331"/>
      <c r="C944" s="332"/>
      <c r="D944" s="331"/>
      <c r="E944" s="333"/>
      <c r="F944" s="271"/>
      <c r="G944" s="931"/>
      <c r="H944" s="931"/>
      <c r="I944" s="931"/>
      <c r="J944" s="931"/>
      <c r="K944" s="931"/>
      <c r="L944" s="931"/>
      <c r="M944" s="931"/>
      <c r="N944" s="931"/>
      <c r="O944" s="931"/>
      <c r="P944" s="931"/>
      <c r="Q944" s="931"/>
      <c r="R944" s="931"/>
    </row>
    <row r="945" spans="1:18" s="328" customFormat="1" ht="13.5" customHeight="1">
      <c r="A945" s="331"/>
      <c r="B945" s="331"/>
      <c r="C945" s="332"/>
      <c r="D945" s="331"/>
      <c r="E945" s="333"/>
      <c r="F945" s="271"/>
      <c r="G945" s="931"/>
      <c r="H945" s="931"/>
      <c r="I945" s="931"/>
      <c r="J945" s="931"/>
      <c r="K945" s="931"/>
      <c r="L945" s="931"/>
      <c r="M945" s="931"/>
      <c r="N945" s="931"/>
      <c r="O945" s="931"/>
      <c r="P945" s="931"/>
      <c r="Q945" s="931"/>
      <c r="R945" s="931"/>
    </row>
    <row r="946" spans="1:18" s="328" customFormat="1" ht="13.5" customHeight="1">
      <c r="A946" s="331"/>
      <c r="B946" s="331"/>
      <c r="C946" s="332"/>
      <c r="D946" s="331"/>
      <c r="E946" s="333"/>
      <c r="F946" s="271"/>
      <c r="G946" s="931"/>
      <c r="H946" s="931"/>
      <c r="I946" s="931"/>
      <c r="J946" s="931"/>
      <c r="K946" s="931"/>
      <c r="L946" s="931"/>
      <c r="M946" s="931"/>
      <c r="N946" s="931"/>
      <c r="O946" s="931"/>
      <c r="P946" s="931"/>
      <c r="Q946" s="931"/>
      <c r="R946" s="931"/>
    </row>
    <row r="947" spans="1:18" s="328" customFormat="1" ht="13.5" customHeight="1">
      <c r="A947" s="331"/>
      <c r="B947" s="331"/>
      <c r="C947" s="332"/>
      <c r="D947" s="331"/>
      <c r="E947" s="333"/>
      <c r="F947" s="271"/>
      <c r="G947" s="931"/>
      <c r="H947" s="931"/>
      <c r="I947" s="931"/>
      <c r="J947" s="931"/>
      <c r="K947" s="931"/>
      <c r="L947" s="931"/>
      <c r="M947" s="931"/>
      <c r="N947" s="931"/>
      <c r="O947" s="931"/>
      <c r="P947" s="931"/>
      <c r="Q947" s="931"/>
      <c r="R947" s="931"/>
    </row>
    <row r="948" spans="1:18" s="328" customFormat="1" ht="13.5" customHeight="1">
      <c r="A948" s="331"/>
      <c r="B948" s="331"/>
      <c r="C948" s="332"/>
      <c r="D948" s="331"/>
      <c r="E948" s="333"/>
      <c r="F948" s="271"/>
      <c r="G948" s="931"/>
      <c r="H948" s="931"/>
      <c r="I948" s="931"/>
      <c r="J948" s="931"/>
      <c r="K948" s="931"/>
      <c r="L948" s="931"/>
      <c r="M948" s="931"/>
      <c r="N948" s="931"/>
      <c r="O948" s="931"/>
      <c r="P948" s="931"/>
      <c r="Q948" s="931"/>
      <c r="R948" s="931"/>
    </row>
    <row r="949" spans="1:18" s="328" customFormat="1" ht="13.5" customHeight="1">
      <c r="A949" s="331"/>
      <c r="B949" s="331"/>
      <c r="C949" s="332"/>
      <c r="D949" s="331"/>
      <c r="E949" s="333"/>
      <c r="F949" s="271"/>
      <c r="G949" s="931"/>
      <c r="H949" s="931"/>
      <c r="I949" s="931"/>
      <c r="J949" s="931"/>
      <c r="K949" s="931"/>
      <c r="L949" s="931"/>
      <c r="M949" s="931"/>
      <c r="N949" s="931"/>
      <c r="O949" s="931"/>
      <c r="P949" s="931"/>
      <c r="Q949" s="931"/>
      <c r="R949" s="931"/>
    </row>
    <row r="950" spans="1:18" s="328" customFormat="1" ht="13.5" customHeight="1">
      <c r="A950" s="331"/>
      <c r="B950" s="331"/>
      <c r="C950" s="332"/>
      <c r="D950" s="331"/>
      <c r="E950" s="333"/>
      <c r="F950" s="271"/>
      <c r="G950" s="931"/>
      <c r="H950" s="931"/>
      <c r="I950" s="931"/>
      <c r="J950" s="931"/>
      <c r="K950" s="931"/>
      <c r="L950" s="931"/>
      <c r="M950" s="931"/>
      <c r="N950" s="931"/>
      <c r="O950" s="931"/>
      <c r="P950" s="931"/>
      <c r="Q950" s="931"/>
      <c r="R950" s="931"/>
    </row>
    <row r="951" spans="1:18" s="328" customFormat="1" ht="13.5" customHeight="1">
      <c r="A951" s="331"/>
      <c r="B951" s="331"/>
      <c r="C951" s="332"/>
      <c r="D951" s="331"/>
      <c r="E951" s="333"/>
      <c r="F951" s="271"/>
      <c r="G951" s="931"/>
      <c r="H951" s="931"/>
      <c r="I951" s="931"/>
      <c r="J951" s="931"/>
      <c r="K951" s="931"/>
      <c r="L951" s="931"/>
      <c r="M951" s="931"/>
      <c r="N951" s="931"/>
      <c r="O951" s="931"/>
      <c r="P951" s="931"/>
      <c r="Q951" s="931"/>
      <c r="R951" s="931"/>
    </row>
    <row r="952" spans="1:18" s="328" customFormat="1" ht="13.5" customHeight="1">
      <c r="A952" s="331"/>
      <c r="B952" s="331"/>
      <c r="C952" s="332"/>
      <c r="D952" s="331"/>
      <c r="E952" s="333"/>
      <c r="F952" s="271"/>
      <c r="G952" s="931"/>
      <c r="H952" s="931"/>
      <c r="I952" s="931"/>
      <c r="J952" s="931"/>
      <c r="K952" s="931"/>
      <c r="L952" s="931"/>
      <c r="M952" s="931"/>
      <c r="N952" s="931"/>
      <c r="O952" s="931"/>
      <c r="P952" s="931"/>
      <c r="Q952" s="931"/>
      <c r="R952" s="931"/>
    </row>
    <row r="953" spans="1:18" s="328" customFormat="1" ht="13.5" customHeight="1">
      <c r="A953" s="331"/>
      <c r="B953" s="331"/>
      <c r="C953" s="332"/>
      <c r="D953" s="331"/>
      <c r="E953" s="333"/>
      <c r="F953" s="271"/>
      <c r="G953" s="931"/>
      <c r="H953" s="931"/>
      <c r="I953" s="931"/>
      <c r="J953" s="931"/>
      <c r="K953" s="931"/>
      <c r="L953" s="931"/>
      <c r="M953" s="931"/>
      <c r="N953" s="931"/>
      <c r="O953" s="931"/>
      <c r="P953" s="931"/>
      <c r="Q953" s="931"/>
      <c r="R953" s="931"/>
    </row>
    <row r="954" spans="1:18" s="328" customFormat="1" ht="13.5" customHeight="1">
      <c r="A954" s="331"/>
      <c r="B954" s="331"/>
      <c r="C954" s="332"/>
      <c r="D954" s="331"/>
      <c r="E954" s="333"/>
      <c r="F954" s="271"/>
      <c r="G954" s="931"/>
      <c r="H954" s="931"/>
      <c r="I954" s="931"/>
      <c r="J954" s="931"/>
      <c r="K954" s="931"/>
      <c r="L954" s="931"/>
      <c r="M954" s="931"/>
      <c r="N954" s="931"/>
      <c r="O954" s="931"/>
      <c r="P954" s="931"/>
      <c r="Q954" s="931"/>
      <c r="R954" s="931"/>
    </row>
    <row r="955" spans="1:18" s="328" customFormat="1" ht="13.5" customHeight="1">
      <c r="A955" s="331"/>
      <c r="B955" s="331"/>
      <c r="C955" s="332"/>
      <c r="D955" s="331"/>
      <c r="E955" s="333"/>
      <c r="F955" s="271"/>
      <c r="G955" s="931"/>
      <c r="H955" s="931"/>
      <c r="I955" s="931"/>
      <c r="J955" s="931"/>
      <c r="K955" s="931"/>
      <c r="L955" s="931"/>
      <c r="M955" s="931"/>
      <c r="N955" s="931"/>
      <c r="O955" s="931"/>
      <c r="P955" s="931"/>
      <c r="Q955" s="931"/>
      <c r="R955" s="931"/>
    </row>
    <row r="956" spans="1:18" s="328" customFormat="1" ht="13.5" customHeight="1">
      <c r="A956" s="331"/>
      <c r="B956" s="331"/>
      <c r="C956" s="332"/>
      <c r="D956" s="331"/>
      <c r="E956" s="333"/>
      <c r="F956" s="271"/>
      <c r="G956" s="931"/>
      <c r="H956" s="931"/>
      <c r="I956" s="931"/>
      <c r="J956" s="931"/>
      <c r="K956" s="931"/>
      <c r="L956" s="931"/>
      <c r="M956" s="931"/>
      <c r="N956" s="931"/>
      <c r="O956" s="931"/>
      <c r="P956" s="931"/>
      <c r="Q956" s="931"/>
      <c r="R956" s="931"/>
    </row>
    <row r="957" spans="1:18" s="328" customFormat="1" ht="13.5" customHeight="1">
      <c r="A957" s="331"/>
      <c r="B957" s="331"/>
      <c r="C957" s="332"/>
      <c r="D957" s="331"/>
      <c r="E957" s="333"/>
      <c r="F957" s="271"/>
      <c r="G957" s="931"/>
      <c r="H957" s="931"/>
      <c r="I957" s="931"/>
      <c r="J957" s="931"/>
      <c r="K957" s="931"/>
      <c r="L957" s="931"/>
      <c r="M957" s="931"/>
      <c r="N957" s="931"/>
      <c r="O957" s="931"/>
      <c r="P957" s="931"/>
      <c r="Q957" s="931"/>
      <c r="R957" s="931"/>
    </row>
    <row r="958" spans="1:18" s="328" customFormat="1" ht="13.5" customHeight="1">
      <c r="A958" s="331"/>
      <c r="B958" s="331"/>
      <c r="C958" s="332"/>
      <c r="D958" s="331"/>
      <c r="E958" s="333"/>
      <c r="F958" s="271"/>
      <c r="G958" s="931"/>
      <c r="H958" s="931"/>
      <c r="I958" s="931"/>
      <c r="J958" s="931"/>
      <c r="K958" s="931"/>
      <c r="L958" s="931"/>
      <c r="M958" s="931"/>
      <c r="N958" s="931"/>
      <c r="O958" s="931"/>
      <c r="P958" s="931"/>
      <c r="Q958" s="931"/>
      <c r="R958" s="931"/>
    </row>
    <row r="959" spans="1:18" s="328" customFormat="1" ht="13.5" customHeight="1">
      <c r="A959" s="331"/>
      <c r="B959" s="331"/>
      <c r="C959" s="332"/>
      <c r="D959" s="331"/>
      <c r="E959" s="333"/>
      <c r="F959" s="271"/>
      <c r="G959" s="931"/>
      <c r="H959" s="931"/>
      <c r="I959" s="931"/>
      <c r="J959" s="931"/>
      <c r="K959" s="931"/>
      <c r="L959" s="931"/>
      <c r="M959" s="931"/>
      <c r="N959" s="931"/>
      <c r="O959" s="931"/>
      <c r="P959" s="931"/>
      <c r="Q959" s="931"/>
      <c r="R959" s="931"/>
    </row>
    <row r="960" spans="1:18" s="328" customFormat="1" ht="13.5" customHeight="1">
      <c r="A960" s="331"/>
      <c r="B960" s="331"/>
      <c r="C960" s="332"/>
      <c r="D960" s="331"/>
      <c r="E960" s="333"/>
      <c r="F960" s="271"/>
      <c r="G960" s="931"/>
      <c r="H960" s="931"/>
      <c r="I960" s="931"/>
      <c r="J960" s="931"/>
      <c r="K960" s="931"/>
      <c r="L960" s="931"/>
      <c r="M960" s="931"/>
      <c r="N960" s="931"/>
      <c r="O960" s="931"/>
      <c r="P960" s="931"/>
      <c r="Q960" s="931"/>
      <c r="R960" s="931"/>
    </row>
    <row r="961" spans="1:18" s="328" customFormat="1" ht="13.5" customHeight="1">
      <c r="A961" s="331"/>
      <c r="B961" s="331"/>
      <c r="C961" s="332"/>
      <c r="D961" s="331"/>
      <c r="E961" s="333"/>
      <c r="F961" s="271"/>
      <c r="G961" s="931"/>
      <c r="H961" s="931"/>
      <c r="I961" s="931"/>
      <c r="J961" s="931"/>
      <c r="K961" s="931"/>
      <c r="L961" s="931"/>
      <c r="M961" s="931"/>
      <c r="N961" s="931"/>
      <c r="O961" s="931"/>
      <c r="P961" s="931"/>
      <c r="Q961" s="931"/>
      <c r="R961" s="931"/>
    </row>
    <row r="962" spans="1:18" s="328" customFormat="1" ht="13.5" customHeight="1">
      <c r="A962" s="331"/>
      <c r="B962" s="331"/>
      <c r="C962" s="332"/>
      <c r="D962" s="331"/>
      <c r="E962" s="333"/>
      <c r="F962" s="271"/>
      <c r="G962" s="931"/>
      <c r="H962" s="931"/>
      <c r="I962" s="931"/>
      <c r="J962" s="931"/>
      <c r="K962" s="931"/>
      <c r="L962" s="931"/>
      <c r="M962" s="931"/>
      <c r="N962" s="931"/>
      <c r="O962" s="931"/>
      <c r="P962" s="931"/>
      <c r="Q962" s="931"/>
      <c r="R962" s="931"/>
    </row>
    <row r="963" spans="1:18" s="328" customFormat="1" ht="13.5" customHeight="1">
      <c r="A963" s="331"/>
      <c r="B963" s="331"/>
      <c r="C963" s="332"/>
      <c r="D963" s="331"/>
      <c r="E963" s="333"/>
      <c r="F963" s="271"/>
      <c r="G963" s="931"/>
      <c r="H963" s="931"/>
      <c r="I963" s="931"/>
      <c r="J963" s="931"/>
      <c r="K963" s="931"/>
      <c r="L963" s="931"/>
      <c r="M963" s="931"/>
      <c r="N963" s="931"/>
      <c r="O963" s="931"/>
      <c r="P963" s="931"/>
      <c r="Q963" s="931"/>
      <c r="R963" s="931"/>
    </row>
    <row r="964" spans="1:18" s="328" customFormat="1" ht="13.5" customHeight="1">
      <c r="A964" s="331"/>
      <c r="B964" s="331"/>
      <c r="C964" s="332"/>
      <c r="D964" s="331"/>
      <c r="E964" s="333"/>
      <c r="F964" s="271"/>
      <c r="G964" s="931"/>
      <c r="H964" s="931"/>
      <c r="I964" s="931"/>
      <c r="J964" s="931"/>
      <c r="K964" s="931"/>
      <c r="L964" s="931"/>
      <c r="M964" s="931"/>
      <c r="N964" s="931"/>
      <c r="O964" s="931"/>
      <c r="P964" s="931"/>
      <c r="Q964" s="931"/>
      <c r="R964" s="931"/>
    </row>
    <row r="965" spans="1:18" s="328" customFormat="1" ht="13.5" customHeight="1">
      <c r="A965" s="331"/>
      <c r="B965" s="331"/>
      <c r="C965" s="332"/>
      <c r="D965" s="331"/>
      <c r="E965" s="333"/>
      <c r="F965" s="271"/>
      <c r="G965" s="931"/>
      <c r="H965" s="931"/>
      <c r="I965" s="931"/>
      <c r="J965" s="931"/>
      <c r="K965" s="931"/>
      <c r="L965" s="931"/>
      <c r="M965" s="931"/>
      <c r="N965" s="931"/>
      <c r="O965" s="931"/>
      <c r="P965" s="931"/>
      <c r="Q965" s="931"/>
      <c r="R965" s="931"/>
    </row>
    <row r="966" spans="1:18" s="328" customFormat="1" ht="13.5" customHeight="1">
      <c r="A966" s="331"/>
      <c r="B966" s="331"/>
      <c r="C966" s="332"/>
      <c r="D966" s="331"/>
      <c r="E966" s="333"/>
      <c r="F966" s="271"/>
      <c r="G966" s="931"/>
      <c r="H966" s="931"/>
      <c r="I966" s="931"/>
      <c r="J966" s="931"/>
      <c r="K966" s="931"/>
      <c r="L966" s="931"/>
      <c r="M966" s="931"/>
      <c r="N966" s="931"/>
      <c r="O966" s="931"/>
      <c r="P966" s="931"/>
      <c r="Q966" s="931"/>
      <c r="R966" s="931"/>
    </row>
    <row r="967" spans="1:18" s="328" customFormat="1" ht="13.5" customHeight="1">
      <c r="A967" s="331"/>
      <c r="B967" s="331"/>
      <c r="C967" s="332"/>
      <c r="D967" s="331"/>
      <c r="E967" s="333"/>
      <c r="F967" s="271"/>
      <c r="G967" s="931"/>
      <c r="H967" s="931"/>
      <c r="I967" s="931"/>
      <c r="J967" s="931"/>
      <c r="K967" s="931"/>
      <c r="L967" s="931"/>
      <c r="M967" s="931"/>
      <c r="N967" s="931"/>
      <c r="O967" s="931"/>
      <c r="P967" s="931"/>
      <c r="Q967" s="931"/>
      <c r="R967" s="931"/>
    </row>
    <row r="968" spans="1:18" s="328" customFormat="1" ht="13.5" customHeight="1">
      <c r="A968" s="331"/>
      <c r="B968" s="331"/>
      <c r="C968" s="332"/>
      <c r="D968" s="331"/>
      <c r="E968" s="333"/>
      <c r="F968" s="271"/>
      <c r="G968" s="931"/>
      <c r="H968" s="931"/>
      <c r="I968" s="931"/>
      <c r="J968" s="931"/>
      <c r="K968" s="931"/>
      <c r="L968" s="931"/>
      <c r="M968" s="931"/>
      <c r="N968" s="931"/>
      <c r="O968" s="931"/>
      <c r="P968" s="931"/>
      <c r="Q968" s="931"/>
      <c r="R968" s="931"/>
    </row>
    <row r="969" spans="1:18" s="328" customFormat="1" ht="13.5" customHeight="1">
      <c r="A969" s="331"/>
      <c r="B969" s="331"/>
      <c r="C969" s="332"/>
      <c r="D969" s="331"/>
      <c r="E969" s="333"/>
      <c r="F969" s="271"/>
      <c r="G969" s="931"/>
      <c r="H969" s="931"/>
      <c r="I969" s="931"/>
      <c r="J969" s="931"/>
      <c r="K969" s="931"/>
      <c r="L969" s="931"/>
      <c r="M969" s="931"/>
      <c r="N969" s="931"/>
      <c r="O969" s="931"/>
      <c r="P969" s="931"/>
      <c r="Q969" s="931"/>
      <c r="R969" s="931"/>
    </row>
    <row r="970" spans="1:18" s="328" customFormat="1" ht="13.5" customHeight="1">
      <c r="A970" s="331"/>
      <c r="B970" s="331"/>
      <c r="C970" s="332"/>
      <c r="D970" s="331"/>
      <c r="E970" s="333"/>
      <c r="F970" s="271"/>
      <c r="G970" s="931"/>
      <c r="H970" s="931"/>
      <c r="I970" s="931"/>
      <c r="J970" s="931"/>
      <c r="K970" s="931"/>
      <c r="L970" s="931"/>
      <c r="M970" s="931"/>
      <c r="N970" s="931"/>
      <c r="O970" s="931"/>
      <c r="P970" s="931"/>
      <c r="Q970" s="931"/>
      <c r="R970" s="931"/>
    </row>
    <row r="971" spans="1:18" s="328" customFormat="1" ht="13.5" customHeight="1">
      <c r="A971" s="331"/>
      <c r="B971" s="331"/>
      <c r="C971" s="332"/>
      <c r="D971" s="331"/>
      <c r="E971" s="333"/>
      <c r="F971" s="271"/>
      <c r="G971" s="931"/>
      <c r="H971" s="931"/>
      <c r="I971" s="931"/>
      <c r="J971" s="931"/>
      <c r="K971" s="931"/>
      <c r="L971" s="931"/>
      <c r="M971" s="931"/>
      <c r="N971" s="931"/>
      <c r="O971" s="931"/>
      <c r="P971" s="931"/>
      <c r="Q971" s="931"/>
      <c r="R971" s="931"/>
    </row>
    <row r="972" spans="1:18" s="328" customFormat="1" ht="13.5" customHeight="1">
      <c r="A972" s="331"/>
      <c r="B972" s="331"/>
      <c r="C972" s="332"/>
      <c r="D972" s="331"/>
      <c r="E972" s="333"/>
      <c r="F972" s="271"/>
      <c r="G972" s="931"/>
      <c r="H972" s="931"/>
      <c r="I972" s="931"/>
      <c r="J972" s="931"/>
      <c r="K972" s="931"/>
      <c r="L972" s="931"/>
      <c r="M972" s="931"/>
      <c r="N972" s="931"/>
      <c r="O972" s="931"/>
      <c r="P972" s="931"/>
      <c r="Q972" s="931"/>
      <c r="R972" s="931"/>
    </row>
    <row r="973" spans="1:18" s="328" customFormat="1" ht="13.5" customHeight="1">
      <c r="A973" s="331"/>
      <c r="B973" s="331"/>
      <c r="C973" s="332"/>
      <c r="D973" s="331"/>
      <c r="E973" s="333"/>
      <c r="F973" s="271"/>
      <c r="G973" s="931"/>
      <c r="H973" s="931"/>
      <c r="I973" s="931"/>
      <c r="J973" s="931"/>
      <c r="K973" s="931"/>
      <c r="L973" s="931"/>
      <c r="M973" s="931"/>
      <c r="N973" s="931"/>
      <c r="O973" s="931"/>
      <c r="P973" s="931"/>
      <c r="Q973" s="931"/>
      <c r="R973" s="931"/>
    </row>
    <row r="974" spans="1:18" s="328" customFormat="1" ht="13.5" customHeight="1">
      <c r="A974" s="331"/>
      <c r="B974" s="331"/>
      <c r="C974" s="332"/>
      <c r="D974" s="331"/>
      <c r="E974" s="333"/>
      <c r="F974" s="271"/>
      <c r="G974" s="931"/>
      <c r="H974" s="931"/>
      <c r="I974" s="931"/>
      <c r="J974" s="931"/>
      <c r="K974" s="931"/>
      <c r="L974" s="931"/>
      <c r="M974" s="931"/>
      <c r="N974" s="931"/>
      <c r="O974" s="931"/>
      <c r="P974" s="931"/>
      <c r="Q974" s="931"/>
      <c r="R974" s="931"/>
    </row>
    <row r="975" spans="1:18" s="328" customFormat="1" ht="13.5" customHeight="1">
      <c r="A975" s="331"/>
      <c r="B975" s="331"/>
      <c r="C975" s="332"/>
      <c r="D975" s="331"/>
      <c r="E975" s="333"/>
      <c r="F975" s="271"/>
      <c r="G975" s="931"/>
      <c r="H975" s="931"/>
      <c r="I975" s="931"/>
      <c r="J975" s="931"/>
      <c r="K975" s="931"/>
      <c r="L975" s="931"/>
      <c r="M975" s="931"/>
      <c r="N975" s="931"/>
      <c r="O975" s="931"/>
      <c r="P975" s="931"/>
      <c r="Q975" s="931"/>
      <c r="R975" s="931"/>
    </row>
    <row r="976" spans="1:18" s="328" customFormat="1" ht="13.5" customHeight="1">
      <c r="A976" s="331"/>
      <c r="B976" s="331"/>
      <c r="C976" s="332"/>
      <c r="D976" s="331"/>
      <c r="E976" s="333"/>
      <c r="F976" s="271"/>
      <c r="G976" s="931"/>
      <c r="H976" s="931"/>
      <c r="I976" s="931"/>
      <c r="J976" s="931"/>
      <c r="K976" s="931"/>
      <c r="L976" s="931"/>
      <c r="M976" s="931"/>
      <c r="N976" s="931"/>
      <c r="O976" s="931"/>
      <c r="P976" s="931"/>
      <c r="Q976" s="931"/>
      <c r="R976" s="931"/>
    </row>
    <row r="977" spans="1:18" s="328" customFormat="1" ht="13.5" customHeight="1">
      <c r="A977" s="331"/>
      <c r="B977" s="331"/>
      <c r="C977" s="332"/>
      <c r="D977" s="331"/>
      <c r="E977" s="333"/>
      <c r="F977" s="271"/>
      <c r="G977" s="931"/>
      <c r="H977" s="931"/>
      <c r="I977" s="931"/>
      <c r="J977" s="931"/>
      <c r="K977" s="931"/>
      <c r="L977" s="931"/>
      <c r="M977" s="931"/>
      <c r="N977" s="931"/>
      <c r="O977" s="931"/>
      <c r="P977" s="931"/>
      <c r="Q977" s="931"/>
      <c r="R977" s="931"/>
    </row>
    <row r="978" spans="1:18" s="328" customFormat="1" ht="13.5" customHeight="1">
      <c r="A978" s="331"/>
      <c r="B978" s="331"/>
      <c r="C978" s="332"/>
      <c r="D978" s="331"/>
      <c r="E978" s="333"/>
      <c r="F978" s="271"/>
      <c r="G978" s="931"/>
      <c r="H978" s="931"/>
      <c r="I978" s="931"/>
      <c r="J978" s="931"/>
      <c r="K978" s="931"/>
      <c r="L978" s="931"/>
      <c r="M978" s="931"/>
      <c r="N978" s="931"/>
      <c r="O978" s="931"/>
      <c r="P978" s="931"/>
      <c r="Q978" s="931"/>
      <c r="R978" s="931"/>
    </row>
    <row r="979" spans="1:18" s="328" customFormat="1" ht="13.5" customHeight="1">
      <c r="A979" s="331"/>
      <c r="B979" s="331"/>
      <c r="C979" s="332"/>
      <c r="D979" s="331"/>
      <c r="E979" s="333"/>
      <c r="F979" s="271"/>
      <c r="G979" s="931"/>
      <c r="H979" s="931"/>
      <c r="I979" s="931"/>
      <c r="J979" s="931"/>
      <c r="K979" s="931"/>
      <c r="L979" s="931"/>
      <c r="M979" s="931"/>
      <c r="N979" s="931"/>
      <c r="O979" s="931"/>
      <c r="P979" s="931"/>
      <c r="Q979" s="931"/>
      <c r="R979" s="931"/>
    </row>
    <row r="980" spans="1:18" s="328" customFormat="1" ht="13.5" customHeight="1">
      <c r="A980" s="331"/>
      <c r="B980" s="331"/>
      <c r="C980" s="332"/>
      <c r="D980" s="331"/>
      <c r="E980" s="333"/>
      <c r="F980" s="271"/>
      <c r="G980" s="931"/>
      <c r="H980" s="931"/>
      <c r="I980" s="931"/>
      <c r="J980" s="931"/>
      <c r="K980" s="931"/>
      <c r="L980" s="931"/>
      <c r="M980" s="931"/>
      <c r="N980" s="931"/>
      <c r="O980" s="931"/>
      <c r="P980" s="931"/>
      <c r="Q980" s="931"/>
      <c r="R980" s="931"/>
    </row>
    <row r="981" spans="1:18" s="328" customFormat="1" ht="13.5" customHeight="1">
      <c r="A981" s="331"/>
      <c r="B981" s="331"/>
      <c r="C981" s="332"/>
      <c r="D981" s="331"/>
      <c r="E981" s="333"/>
      <c r="F981" s="271"/>
      <c r="G981" s="931"/>
      <c r="H981" s="931"/>
      <c r="I981" s="931"/>
      <c r="J981" s="931"/>
      <c r="K981" s="931"/>
      <c r="L981" s="931"/>
      <c r="M981" s="931"/>
      <c r="N981" s="931"/>
      <c r="O981" s="931"/>
      <c r="P981" s="931"/>
      <c r="Q981" s="931"/>
      <c r="R981" s="931"/>
    </row>
    <row r="982" spans="1:18" s="328" customFormat="1" ht="13.5" customHeight="1">
      <c r="A982" s="331"/>
      <c r="B982" s="331"/>
      <c r="C982" s="332"/>
      <c r="D982" s="331"/>
      <c r="E982" s="333"/>
      <c r="F982" s="271"/>
      <c r="G982" s="931"/>
      <c r="H982" s="931"/>
      <c r="I982" s="931"/>
      <c r="J982" s="931"/>
      <c r="K982" s="931"/>
      <c r="L982" s="931"/>
      <c r="M982" s="931"/>
      <c r="N982" s="931"/>
      <c r="O982" s="931"/>
      <c r="P982" s="931"/>
      <c r="Q982" s="931"/>
      <c r="R982" s="931"/>
    </row>
    <row r="983" spans="1:18" s="328" customFormat="1" ht="13.5" customHeight="1">
      <c r="A983" s="331"/>
      <c r="B983" s="331"/>
      <c r="C983" s="332"/>
      <c r="D983" s="331"/>
      <c r="E983" s="333"/>
      <c r="F983" s="271"/>
      <c r="G983" s="931"/>
      <c r="H983" s="931"/>
      <c r="I983" s="931"/>
      <c r="J983" s="931"/>
      <c r="K983" s="931"/>
      <c r="L983" s="931"/>
      <c r="M983" s="931"/>
      <c r="N983" s="931"/>
      <c r="O983" s="931"/>
      <c r="P983" s="931"/>
      <c r="Q983" s="931"/>
      <c r="R983" s="931"/>
    </row>
    <row r="984" spans="1:18" s="328" customFormat="1" ht="13.5" customHeight="1">
      <c r="A984" s="331"/>
      <c r="B984" s="331"/>
      <c r="C984" s="332"/>
      <c r="D984" s="331"/>
      <c r="E984" s="333"/>
      <c r="F984" s="271"/>
      <c r="G984" s="931"/>
      <c r="H984" s="931"/>
      <c r="I984" s="931"/>
      <c r="J984" s="931"/>
      <c r="K984" s="931"/>
      <c r="L984" s="931"/>
      <c r="M984" s="931"/>
      <c r="N984" s="931"/>
      <c r="O984" s="931"/>
      <c r="P984" s="931"/>
      <c r="Q984" s="931"/>
      <c r="R984" s="931"/>
    </row>
    <row r="985" spans="1:18" s="328" customFormat="1" ht="13.5" customHeight="1">
      <c r="A985" s="331"/>
      <c r="B985" s="331"/>
      <c r="C985" s="332"/>
      <c r="D985" s="331"/>
      <c r="E985" s="333"/>
      <c r="F985" s="271"/>
      <c r="G985" s="931"/>
      <c r="H985" s="931"/>
      <c r="I985" s="931"/>
      <c r="J985" s="931"/>
      <c r="K985" s="931"/>
      <c r="L985" s="931"/>
      <c r="M985" s="931"/>
      <c r="N985" s="931"/>
      <c r="O985" s="931"/>
      <c r="P985" s="931"/>
      <c r="Q985" s="931"/>
      <c r="R985" s="931"/>
    </row>
    <row r="986" spans="1:18" s="328" customFormat="1" ht="13.5" customHeight="1">
      <c r="A986" s="331"/>
      <c r="B986" s="331"/>
      <c r="C986" s="332"/>
      <c r="D986" s="331"/>
      <c r="E986" s="333"/>
      <c r="F986" s="271"/>
      <c r="G986" s="931"/>
      <c r="H986" s="931"/>
      <c r="I986" s="931"/>
      <c r="J986" s="931"/>
      <c r="K986" s="931"/>
      <c r="L986" s="931"/>
      <c r="M986" s="931"/>
      <c r="N986" s="931"/>
      <c r="O986" s="931"/>
      <c r="P986" s="931"/>
      <c r="Q986" s="931"/>
      <c r="R986" s="931"/>
    </row>
    <row r="987" spans="1:18" s="328" customFormat="1" ht="13.5" customHeight="1">
      <c r="A987" s="331"/>
      <c r="B987" s="331"/>
      <c r="C987" s="332"/>
      <c r="D987" s="331"/>
      <c r="E987" s="333"/>
      <c r="F987" s="271"/>
      <c r="G987" s="931"/>
      <c r="H987" s="931"/>
      <c r="I987" s="931"/>
      <c r="J987" s="931"/>
      <c r="K987" s="931"/>
      <c r="L987" s="931"/>
      <c r="M987" s="931"/>
      <c r="N987" s="931"/>
      <c r="O987" s="931"/>
      <c r="P987" s="931"/>
      <c r="Q987" s="931"/>
      <c r="R987" s="931"/>
    </row>
    <row r="988" spans="1:18" s="328" customFormat="1" ht="13.5" customHeight="1">
      <c r="A988" s="331"/>
      <c r="B988" s="331"/>
      <c r="C988" s="332"/>
      <c r="D988" s="331"/>
      <c r="E988" s="333"/>
      <c r="F988" s="271"/>
      <c r="G988" s="931"/>
      <c r="H988" s="931"/>
      <c r="I988" s="931"/>
      <c r="J988" s="931"/>
      <c r="K988" s="931"/>
      <c r="L988" s="931"/>
      <c r="M988" s="931"/>
      <c r="N988" s="931"/>
      <c r="O988" s="931"/>
      <c r="P988" s="931"/>
      <c r="Q988" s="931"/>
      <c r="R988" s="931"/>
    </row>
    <row r="989" spans="1:18" s="328" customFormat="1" ht="13.5" customHeight="1">
      <c r="A989" s="331"/>
      <c r="B989" s="331"/>
      <c r="C989" s="332"/>
      <c r="D989" s="331"/>
      <c r="E989" s="333"/>
      <c r="F989" s="271"/>
      <c r="G989" s="931"/>
      <c r="H989" s="931"/>
      <c r="I989" s="931"/>
      <c r="J989" s="931"/>
      <c r="K989" s="931"/>
      <c r="L989" s="931"/>
      <c r="M989" s="931"/>
      <c r="N989" s="931"/>
      <c r="O989" s="931"/>
      <c r="P989" s="931"/>
      <c r="Q989" s="931"/>
      <c r="R989" s="931"/>
    </row>
    <row r="990" spans="1:18" s="328" customFormat="1" ht="13.5" customHeight="1">
      <c r="A990" s="331"/>
      <c r="B990" s="331"/>
      <c r="C990" s="332"/>
      <c r="D990" s="331"/>
      <c r="E990" s="333"/>
      <c r="F990" s="271"/>
      <c r="G990" s="931"/>
      <c r="H990" s="931"/>
      <c r="I990" s="931"/>
      <c r="J990" s="931"/>
      <c r="K990" s="931"/>
      <c r="L990" s="931"/>
      <c r="M990" s="931"/>
      <c r="N990" s="931"/>
      <c r="O990" s="931"/>
      <c r="P990" s="931"/>
      <c r="Q990" s="931"/>
      <c r="R990" s="931"/>
    </row>
    <row r="991" spans="1:18" s="328" customFormat="1" ht="13.5" customHeight="1">
      <c r="A991" s="331"/>
      <c r="B991" s="331"/>
      <c r="C991" s="332"/>
      <c r="D991" s="331"/>
      <c r="E991" s="333"/>
      <c r="F991" s="271"/>
      <c r="G991" s="931"/>
      <c r="H991" s="931"/>
      <c r="I991" s="931"/>
      <c r="J991" s="931"/>
      <c r="K991" s="931"/>
      <c r="L991" s="931"/>
      <c r="M991" s="931"/>
      <c r="N991" s="931"/>
      <c r="O991" s="931"/>
      <c r="P991" s="931"/>
      <c r="Q991" s="931"/>
      <c r="R991" s="931"/>
    </row>
    <row r="992" spans="1:18" s="328" customFormat="1" ht="13.5" customHeight="1">
      <c r="A992" s="331"/>
      <c r="B992" s="331"/>
      <c r="C992" s="332"/>
      <c r="D992" s="331"/>
      <c r="E992" s="333"/>
      <c r="F992" s="271"/>
      <c r="G992" s="931"/>
      <c r="H992" s="931"/>
      <c r="I992" s="931"/>
      <c r="J992" s="931"/>
      <c r="K992" s="931"/>
      <c r="L992" s="931"/>
      <c r="M992" s="931"/>
      <c r="N992" s="931"/>
      <c r="O992" s="931"/>
      <c r="P992" s="931"/>
      <c r="Q992" s="931"/>
      <c r="R992" s="931"/>
    </row>
    <row r="993" spans="1:18" s="328" customFormat="1" ht="13.5" customHeight="1">
      <c r="A993" s="331"/>
      <c r="B993" s="331"/>
      <c r="C993" s="332"/>
      <c r="D993" s="331"/>
      <c r="E993" s="333"/>
      <c r="F993" s="271"/>
      <c r="G993" s="931"/>
      <c r="H993" s="931"/>
      <c r="I993" s="931"/>
      <c r="J993" s="931"/>
      <c r="K993" s="931"/>
      <c r="L993" s="931"/>
      <c r="M993" s="931"/>
      <c r="N993" s="931"/>
      <c r="O993" s="931"/>
      <c r="P993" s="931"/>
      <c r="Q993" s="931"/>
      <c r="R993" s="931"/>
    </row>
    <row r="994" spans="1:18" s="328" customFormat="1" ht="13.5" customHeight="1">
      <c r="A994" s="331"/>
      <c r="B994" s="331"/>
      <c r="C994" s="332"/>
      <c r="D994" s="331"/>
      <c r="E994" s="333"/>
      <c r="F994" s="271"/>
      <c r="G994" s="931"/>
      <c r="H994" s="931"/>
      <c r="I994" s="931"/>
      <c r="J994" s="931"/>
      <c r="K994" s="931"/>
      <c r="L994" s="931"/>
      <c r="M994" s="931"/>
      <c r="N994" s="931"/>
      <c r="O994" s="931"/>
      <c r="P994" s="931"/>
      <c r="Q994" s="931"/>
      <c r="R994" s="931"/>
    </row>
    <row r="995" spans="1:18" s="328" customFormat="1" ht="13.5" customHeight="1">
      <c r="A995" s="331"/>
      <c r="B995" s="331"/>
      <c r="C995" s="332"/>
      <c r="D995" s="331"/>
      <c r="E995" s="333"/>
      <c r="F995" s="271"/>
      <c r="G995" s="931"/>
      <c r="H995" s="931"/>
      <c r="I995" s="931"/>
      <c r="J995" s="931"/>
      <c r="K995" s="931"/>
      <c r="L995" s="931"/>
      <c r="M995" s="931"/>
      <c r="N995" s="931"/>
      <c r="O995" s="931"/>
      <c r="P995" s="931"/>
      <c r="Q995" s="931"/>
      <c r="R995" s="931"/>
    </row>
    <row r="996" spans="1:18" s="328" customFormat="1" ht="13.5" customHeight="1">
      <c r="A996" s="331"/>
      <c r="B996" s="331"/>
      <c r="C996" s="332"/>
      <c r="D996" s="331"/>
      <c r="E996" s="333"/>
      <c r="F996" s="271"/>
      <c r="G996" s="931"/>
      <c r="H996" s="931"/>
      <c r="I996" s="931"/>
      <c r="J996" s="931"/>
      <c r="K996" s="931"/>
      <c r="L996" s="931"/>
      <c r="M996" s="931"/>
      <c r="N996" s="931"/>
      <c r="O996" s="931"/>
      <c r="P996" s="931"/>
      <c r="Q996" s="931"/>
      <c r="R996" s="931"/>
    </row>
    <row r="997" spans="1:18" s="328" customFormat="1" ht="13.5" customHeight="1">
      <c r="A997" s="331"/>
      <c r="B997" s="331"/>
      <c r="C997" s="332"/>
      <c r="D997" s="331"/>
      <c r="E997" s="333"/>
      <c r="F997" s="271"/>
      <c r="G997" s="931"/>
      <c r="H997" s="931"/>
      <c r="I997" s="931"/>
      <c r="J997" s="931"/>
      <c r="K997" s="931"/>
      <c r="L997" s="931"/>
      <c r="M997" s="931"/>
      <c r="N997" s="931"/>
      <c r="O997" s="931"/>
      <c r="P997" s="931"/>
      <c r="Q997" s="931"/>
      <c r="R997" s="931"/>
    </row>
    <row r="998" spans="1:18" s="328" customFormat="1" ht="13.5" customHeight="1">
      <c r="A998" s="331"/>
      <c r="B998" s="331"/>
      <c r="C998" s="332"/>
      <c r="D998" s="331"/>
      <c r="E998" s="333"/>
      <c r="F998" s="271"/>
      <c r="G998" s="931"/>
      <c r="H998" s="931"/>
      <c r="I998" s="931"/>
      <c r="J998" s="931"/>
      <c r="K998" s="931"/>
      <c r="L998" s="931"/>
      <c r="M998" s="931"/>
      <c r="N998" s="931"/>
      <c r="O998" s="931"/>
      <c r="P998" s="931"/>
      <c r="Q998" s="931"/>
      <c r="R998" s="931"/>
    </row>
    <row r="999" spans="1:18" s="328" customFormat="1" ht="13.5" customHeight="1">
      <c r="A999" s="331"/>
      <c r="B999" s="331"/>
      <c r="C999" s="332"/>
      <c r="D999" s="331"/>
      <c r="E999" s="333"/>
      <c r="F999" s="271"/>
      <c r="G999" s="931"/>
      <c r="H999" s="931"/>
      <c r="I999" s="931"/>
      <c r="J999" s="931"/>
      <c r="K999" s="931"/>
      <c r="L999" s="931"/>
      <c r="M999" s="931"/>
      <c r="N999" s="931"/>
      <c r="O999" s="931"/>
      <c r="P999" s="931"/>
      <c r="Q999" s="931"/>
      <c r="R999" s="931"/>
    </row>
    <row r="1000" spans="1:18" s="328" customFormat="1" ht="13.5" customHeight="1">
      <c r="A1000" s="331"/>
      <c r="B1000" s="331"/>
      <c r="C1000" s="332"/>
      <c r="D1000" s="331"/>
      <c r="E1000" s="333"/>
      <c r="F1000" s="271"/>
      <c r="G1000" s="931"/>
      <c r="H1000" s="931"/>
      <c r="I1000" s="931"/>
      <c r="J1000" s="931"/>
      <c r="K1000" s="931"/>
      <c r="L1000" s="931"/>
      <c r="M1000" s="931"/>
      <c r="N1000" s="931"/>
      <c r="O1000" s="931"/>
      <c r="P1000" s="931"/>
      <c r="Q1000" s="931"/>
      <c r="R1000" s="931"/>
    </row>
    <row r="1001" spans="1:18" s="328" customFormat="1" ht="13.5" customHeight="1">
      <c r="A1001" s="331"/>
      <c r="B1001" s="331"/>
      <c r="C1001" s="332"/>
      <c r="D1001" s="331"/>
      <c r="E1001" s="333"/>
      <c r="F1001" s="271"/>
      <c r="G1001" s="931"/>
      <c r="H1001" s="931"/>
      <c r="I1001" s="931"/>
      <c r="J1001" s="931"/>
      <c r="K1001" s="931"/>
      <c r="L1001" s="931"/>
      <c r="M1001" s="931"/>
      <c r="N1001" s="931"/>
      <c r="O1001" s="931"/>
      <c r="P1001" s="931"/>
      <c r="Q1001" s="931"/>
      <c r="R1001" s="931"/>
    </row>
    <row r="1002" spans="1:18" s="328" customFormat="1" ht="13.5" customHeight="1">
      <c r="A1002" s="331"/>
      <c r="B1002" s="331"/>
      <c r="C1002" s="332"/>
      <c r="D1002" s="331"/>
      <c r="E1002" s="333"/>
      <c r="F1002" s="271"/>
      <c r="G1002" s="931"/>
      <c r="H1002" s="931"/>
      <c r="I1002" s="931"/>
      <c r="J1002" s="931"/>
      <c r="K1002" s="931"/>
      <c r="L1002" s="931"/>
      <c r="M1002" s="931"/>
      <c r="N1002" s="931"/>
      <c r="O1002" s="931"/>
      <c r="P1002" s="931"/>
      <c r="Q1002" s="931"/>
      <c r="R1002" s="931"/>
    </row>
    <row r="1003" spans="1:18" s="328" customFormat="1" ht="13.5" customHeight="1">
      <c r="A1003" s="331"/>
      <c r="B1003" s="331"/>
      <c r="C1003" s="332"/>
      <c r="D1003" s="331"/>
      <c r="E1003" s="333"/>
      <c r="F1003" s="271"/>
      <c r="G1003" s="931"/>
      <c r="H1003" s="931"/>
      <c r="I1003" s="931"/>
      <c r="J1003" s="931"/>
      <c r="K1003" s="931"/>
      <c r="L1003" s="931"/>
      <c r="M1003" s="931"/>
      <c r="N1003" s="931"/>
      <c r="O1003" s="931"/>
      <c r="P1003" s="931"/>
      <c r="Q1003" s="931"/>
      <c r="R1003" s="931"/>
    </row>
    <row r="1004" spans="1:18" s="328" customFormat="1" ht="13.5" customHeight="1">
      <c r="A1004" s="331"/>
      <c r="B1004" s="331"/>
      <c r="C1004" s="332"/>
      <c r="D1004" s="331"/>
      <c r="E1004" s="333"/>
      <c r="F1004" s="271"/>
      <c r="G1004" s="931"/>
      <c r="H1004" s="931"/>
      <c r="I1004" s="931"/>
      <c r="J1004" s="931"/>
      <c r="K1004" s="931"/>
      <c r="L1004" s="931"/>
      <c r="M1004" s="931"/>
      <c r="N1004" s="931"/>
      <c r="O1004" s="931"/>
      <c r="P1004" s="931"/>
      <c r="Q1004" s="931"/>
      <c r="R1004" s="931"/>
    </row>
    <row r="1005" spans="1:18" s="328" customFormat="1" ht="13.5" customHeight="1">
      <c r="A1005" s="331"/>
      <c r="B1005" s="331"/>
      <c r="C1005" s="332"/>
      <c r="D1005" s="331"/>
      <c r="E1005" s="333"/>
      <c r="F1005" s="271"/>
      <c r="G1005" s="931"/>
      <c r="H1005" s="931"/>
      <c r="I1005" s="931"/>
      <c r="J1005" s="931"/>
      <c r="K1005" s="931"/>
      <c r="L1005" s="931"/>
      <c r="M1005" s="931"/>
      <c r="N1005" s="931"/>
      <c r="O1005" s="931"/>
      <c r="P1005" s="931"/>
      <c r="Q1005" s="931"/>
      <c r="R1005" s="931"/>
    </row>
    <row r="1006" spans="1:18" s="328" customFormat="1" ht="13.5" customHeight="1">
      <c r="A1006" s="331"/>
      <c r="B1006" s="331"/>
      <c r="C1006" s="332"/>
      <c r="D1006" s="331"/>
      <c r="E1006" s="333"/>
      <c r="F1006" s="271"/>
      <c r="G1006" s="931"/>
      <c r="H1006" s="931"/>
      <c r="I1006" s="931"/>
      <c r="J1006" s="931"/>
      <c r="K1006" s="931"/>
      <c r="L1006" s="931"/>
      <c r="M1006" s="931"/>
      <c r="N1006" s="931"/>
      <c r="O1006" s="931"/>
      <c r="P1006" s="931"/>
      <c r="Q1006" s="931"/>
      <c r="R1006" s="931"/>
    </row>
    <row r="1007" spans="1:18" s="328" customFormat="1" ht="13.5" customHeight="1">
      <c r="A1007" s="331"/>
      <c r="B1007" s="331"/>
      <c r="C1007" s="332"/>
      <c r="D1007" s="331"/>
      <c r="E1007" s="333"/>
      <c r="F1007" s="271"/>
      <c r="G1007" s="931"/>
      <c r="H1007" s="931"/>
      <c r="I1007" s="931"/>
      <c r="J1007" s="931"/>
      <c r="K1007" s="931"/>
      <c r="L1007" s="931"/>
      <c r="M1007" s="931"/>
      <c r="N1007" s="931"/>
      <c r="O1007" s="931"/>
      <c r="P1007" s="931"/>
      <c r="Q1007" s="931"/>
      <c r="R1007" s="931"/>
    </row>
    <row r="1008" spans="1:18" s="328" customFormat="1" ht="13.5" customHeight="1">
      <c r="A1008" s="331"/>
      <c r="B1008" s="331"/>
      <c r="C1008" s="332"/>
      <c r="D1008" s="331"/>
      <c r="E1008" s="333"/>
      <c r="F1008" s="271"/>
      <c r="G1008" s="931"/>
      <c r="H1008" s="931"/>
      <c r="I1008" s="931"/>
      <c r="J1008" s="931"/>
      <c r="K1008" s="931"/>
      <c r="L1008" s="931"/>
      <c r="M1008" s="931"/>
      <c r="N1008" s="931"/>
      <c r="O1008" s="931"/>
      <c r="P1008" s="931"/>
      <c r="Q1008" s="931"/>
      <c r="R1008" s="931"/>
    </row>
    <row r="1009" spans="1:18" s="328" customFormat="1" ht="13.5" customHeight="1">
      <c r="A1009" s="331"/>
      <c r="B1009" s="331"/>
      <c r="C1009" s="332"/>
      <c r="D1009" s="331"/>
      <c r="E1009" s="333"/>
      <c r="F1009" s="271"/>
      <c r="G1009" s="931"/>
      <c r="H1009" s="931"/>
      <c r="I1009" s="931"/>
      <c r="J1009" s="931"/>
      <c r="K1009" s="931"/>
      <c r="L1009" s="931"/>
      <c r="M1009" s="931"/>
      <c r="N1009" s="931"/>
      <c r="O1009" s="931"/>
      <c r="P1009" s="931"/>
      <c r="Q1009" s="931"/>
      <c r="R1009" s="931"/>
    </row>
    <row r="1010" spans="1:18" s="328" customFormat="1" ht="13.5" customHeight="1">
      <c r="A1010" s="331"/>
      <c r="B1010" s="331"/>
      <c r="C1010" s="332"/>
      <c r="D1010" s="331"/>
      <c r="E1010" s="333"/>
      <c r="F1010" s="271"/>
      <c r="G1010" s="931"/>
      <c r="H1010" s="931"/>
      <c r="I1010" s="931"/>
      <c r="J1010" s="931"/>
      <c r="K1010" s="931"/>
      <c r="L1010" s="931"/>
      <c r="M1010" s="931"/>
      <c r="N1010" s="931"/>
      <c r="O1010" s="931"/>
      <c r="P1010" s="931"/>
      <c r="Q1010" s="931"/>
      <c r="R1010" s="931"/>
    </row>
    <row r="1011" spans="1:18" s="328" customFormat="1" ht="13.5" customHeight="1">
      <c r="A1011" s="331"/>
      <c r="B1011" s="331"/>
      <c r="C1011" s="332"/>
      <c r="D1011" s="331"/>
      <c r="E1011" s="333"/>
      <c r="F1011" s="271"/>
      <c r="G1011" s="931"/>
      <c r="H1011" s="931"/>
      <c r="I1011" s="931"/>
      <c r="J1011" s="931"/>
      <c r="K1011" s="931"/>
      <c r="L1011" s="931"/>
      <c r="M1011" s="931"/>
      <c r="N1011" s="931"/>
      <c r="O1011" s="931"/>
      <c r="P1011" s="931"/>
      <c r="Q1011" s="931"/>
      <c r="R1011" s="931"/>
    </row>
    <row r="1012" spans="1:18" s="328" customFormat="1" ht="13.5" customHeight="1">
      <c r="A1012" s="331"/>
      <c r="B1012" s="331"/>
      <c r="C1012" s="332"/>
      <c r="D1012" s="331"/>
      <c r="E1012" s="333"/>
      <c r="F1012" s="271"/>
      <c r="G1012" s="931"/>
      <c r="H1012" s="931"/>
      <c r="I1012" s="931"/>
      <c r="J1012" s="931"/>
      <c r="K1012" s="931"/>
      <c r="L1012" s="931"/>
      <c r="M1012" s="931"/>
      <c r="N1012" s="931"/>
      <c r="O1012" s="931"/>
      <c r="P1012" s="931"/>
      <c r="Q1012" s="931"/>
      <c r="R1012" s="931"/>
    </row>
    <row r="1013" spans="1:18" s="328" customFormat="1" ht="13.5" customHeight="1">
      <c r="A1013" s="331"/>
      <c r="B1013" s="331"/>
      <c r="C1013" s="332"/>
      <c r="D1013" s="331"/>
      <c r="E1013" s="333"/>
      <c r="F1013" s="271"/>
      <c r="G1013" s="931"/>
      <c r="H1013" s="931"/>
      <c r="I1013" s="931"/>
      <c r="J1013" s="931"/>
      <c r="K1013" s="931"/>
      <c r="L1013" s="931"/>
      <c r="M1013" s="931"/>
      <c r="N1013" s="931"/>
      <c r="O1013" s="931"/>
      <c r="P1013" s="931"/>
      <c r="Q1013" s="931"/>
      <c r="R1013" s="931"/>
    </row>
    <row r="1014" spans="1:18" s="328" customFormat="1" ht="13.5" customHeight="1">
      <c r="A1014" s="331"/>
      <c r="B1014" s="331"/>
      <c r="C1014" s="332"/>
      <c r="D1014" s="331"/>
      <c r="E1014" s="333"/>
      <c r="F1014" s="271"/>
      <c r="G1014" s="931"/>
      <c r="H1014" s="931"/>
      <c r="I1014" s="931"/>
      <c r="J1014" s="931"/>
      <c r="K1014" s="931"/>
      <c r="L1014" s="931"/>
      <c r="M1014" s="931"/>
      <c r="N1014" s="931"/>
      <c r="O1014" s="931"/>
      <c r="P1014" s="931"/>
      <c r="Q1014" s="931"/>
      <c r="R1014" s="931"/>
    </row>
    <row r="1015" spans="1:18" s="328" customFormat="1" ht="13.5" customHeight="1">
      <c r="A1015" s="331"/>
      <c r="B1015" s="331"/>
      <c r="C1015" s="332"/>
      <c r="D1015" s="331"/>
      <c r="E1015" s="333"/>
      <c r="F1015" s="271"/>
      <c r="G1015" s="931"/>
      <c r="H1015" s="931"/>
      <c r="I1015" s="931"/>
      <c r="J1015" s="931"/>
      <c r="K1015" s="931"/>
      <c r="L1015" s="931"/>
      <c r="M1015" s="931"/>
      <c r="N1015" s="931"/>
      <c r="O1015" s="931"/>
      <c r="P1015" s="931"/>
      <c r="Q1015" s="931"/>
      <c r="R1015" s="931"/>
    </row>
    <row r="1016" spans="1:18" s="328" customFormat="1" ht="13.5" customHeight="1">
      <c r="A1016" s="331"/>
      <c r="B1016" s="331"/>
      <c r="C1016" s="332"/>
      <c r="D1016" s="331"/>
      <c r="E1016" s="333"/>
      <c r="F1016" s="271"/>
      <c r="G1016" s="931"/>
      <c r="H1016" s="931"/>
      <c r="I1016" s="931"/>
      <c r="J1016" s="931"/>
      <c r="K1016" s="931"/>
      <c r="L1016" s="931"/>
      <c r="M1016" s="931"/>
      <c r="N1016" s="931"/>
      <c r="O1016" s="931"/>
      <c r="P1016" s="931"/>
      <c r="Q1016" s="931"/>
      <c r="R1016" s="931"/>
    </row>
    <row r="1017" spans="1:18" s="328" customFormat="1" ht="13.5" customHeight="1">
      <c r="A1017" s="331"/>
      <c r="B1017" s="331"/>
      <c r="C1017" s="332"/>
      <c r="D1017" s="331"/>
      <c r="E1017" s="333"/>
      <c r="F1017" s="271"/>
      <c r="G1017" s="931"/>
      <c r="H1017" s="931"/>
      <c r="I1017" s="931"/>
      <c r="J1017" s="931"/>
      <c r="K1017" s="931"/>
      <c r="L1017" s="931"/>
      <c r="M1017" s="931"/>
      <c r="N1017" s="931"/>
      <c r="O1017" s="931"/>
      <c r="P1017" s="931"/>
      <c r="Q1017" s="931"/>
      <c r="R1017" s="931"/>
    </row>
    <row r="1018" spans="1:18" s="328" customFormat="1" ht="13.5" customHeight="1">
      <c r="A1018" s="331"/>
      <c r="B1018" s="331"/>
      <c r="C1018" s="332"/>
      <c r="D1018" s="331"/>
      <c r="E1018" s="333"/>
      <c r="F1018" s="271"/>
      <c r="G1018" s="931"/>
      <c r="H1018" s="931"/>
      <c r="I1018" s="931"/>
      <c r="J1018" s="931"/>
      <c r="K1018" s="931"/>
      <c r="L1018" s="931"/>
      <c r="M1018" s="931"/>
      <c r="N1018" s="931"/>
      <c r="O1018" s="931"/>
      <c r="P1018" s="931"/>
      <c r="Q1018" s="931"/>
      <c r="R1018" s="931"/>
    </row>
    <row r="1019" spans="1:18" s="328" customFormat="1" ht="13.5" customHeight="1">
      <c r="A1019" s="331"/>
      <c r="B1019" s="331"/>
      <c r="C1019" s="332"/>
      <c r="D1019" s="331"/>
      <c r="E1019" s="333"/>
      <c r="F1019" s="271"/>
      <c r="G1019" s="931"/>
      <c r="H1019" s="931"/>
      <c r="I1019" s="931"/>
      <c r="J1019" s="931"/>
      <c r="K1019" s="931"/>
      <c r="L1019" s="931"/>
      <c r="M1019" s="931"/>
      <c r="N1019" s="931"/>
      <c r="O1019" s="931"/>
      <c r="P1019" s="931"/>
      <c r="Q1019" s="931"/>
      <c r="R1019" s="931"/>
    </row>
    <row r="1020" spans="1:18" s="328" customFormat="1" ht="13.5" customHeight="1">
      <c r="A1020" s="331"/>
      <c r="B1020" s="331"/>
      <c r="C1020" s="332"/>
      <c r="D1020" s="331"/>
      <c r="E1020" s="333"/>
      <c r="F1020" s="271"/>
      <c r="G1020" s="931"/>
      <c r="H1020" s="931"/>
      <c r="I1020" s="931"/>
      <c r="J1020" s="931"/>
      <c r="K1020" s="931"/>
      <c r="L1020" s="931"/>
      <c r="M1020" s="931"/>
      <c r="N1020" s="931"/>
      <c r="O1020" s="931"/>
      <c r="P1020" s="931"/>
      <c r="Q1020" s="931"/>
      <c r="R1020" s="931"/>
    </row>
    <row r="1021" spans="1:18" s="328" customFormat="1" ht="13.5" customHeight="1">
      <c r="A1021" s="331"/>
      <c r="B1021" s="331"/>
      <c r="C1021" s="332"/>
      <c r="D1021" s="331"/>
      <c r="E1021" s="333"/>
      <c r="F1021" s="271"/>
      <c r="G1021" s="931"/>
      <c r="H1021" s="931"/>
      <c r="I1021" s="931"/>
      <c r="J1021" s="931"/>
      <c r="K1021" s="931"/>
      <c r="L1021" s="931"/>
      <c r="M1021" s="931"/>
      <c r="N1021" s="931"/>
      <c r="O1021" s="931"/>
      <c r="P1021" s="931"/>
      <c r="Q1021" s="931"/>
      <c r="R1021" s="931"/>
    </row>
    <row r="1022" spans="1:18" s="328" customFormat="1" ht="13.5" customHeight="1">
      <c r="A1022" s="331"/>
      <c r="B1022" s="331"/>
      <c r="C1022" s="332"/>
      <c r="D1022" s="331"/>
      <c r="E1022" s="333"/>
      <c r="F1022" s="271"/>
      <c r="G1022" s="931"/>
      <c r="H1022" s="931"/>
      <c r="I1022" s="931"/>
      <c r="J1022" s="931"/>
      <c r="K1022" s="931"/>
      <c r="L1022" s="931"/>
      <c r="M1022" s="931"/>
      <c r="N1022" s="931"/>
      <c r="O1022" s="931"/>
      <c r="P1022" s="931"/>
      <c r="Q1022" s="931"/>
      <c r="R1022" s="931"/>
    </row>
    <row r="1023" spans="1:18" s="328" customFormat="1" ht="13.5" customHeight="1">
      <c r="A1023" s="331"/>
      <c r="B1023" s="331"/>
      <c r="C1023" s="332"/>
      <c r="D1023" s="331"/>
      <c r="E1023" s="333"/>
      <c r="F1023" s="271"/>
      <c r="G1023" s="931"/>
      <c r="H1023" s="931"/>
      <c r="I1023" s="931"/>
      <c r="J1023" s="931"/>
      <c r="K1023" s="931"/>
      <c r="L1023" s="931"/>
      <c r="M1023" s="931"/>
      <c r="N1023" s="931"/>
      <c r="O1023" s="931"/>
      <c r="P1023" s="931"/>
      <c r="Q1023" s="931"/>
      <c r="R1023" s="931"/>
    </row>
    <row r="1024" spans="1:18" s="328" customFormat="1" ht="13.5" customHeight="1">
      <c r="A1024" s="331"/>
      <c r="B1024" s="331"/>
      <c r="C1024" s="332"/>
      <c r="D1024" s="331"/>
      <c r="E1024" s="333"/>
      <c r="F1024" s="271"/>
      <c r="G1024" s="931"/>
      <c r="H1024" s="931"/>
      <c r="I1024" s="931"/>
      <c r="J1024" s="931"/>
      <c r="K1024" s="931"/>
      <c r="L1024" s="931"/>
      <c r="M1024" s="931"/>
      <c r="N1024" s="931"/>
      <c r="O1024" s="931"/>
      <c r="P1024" s="931"/>
      <c r="Q1024" s="931"/>
      <c r="R1024" s="931"/>
    </row>
    <row r="1025" spans="1:18" s="328" customFormat="1" ht="13.5" customHeight="1">
      <c r="A1025" s="331"/>
      <c r="B1025" s="331"/>
      <c r="C1025" s="332"/>
      <c r="D1025" s="331"/>
      <c r="E1025" s="333"/>
      <c r="F1025" s="271"/>
      <c r="G1025" s="931"/>
      <c r="H1025" s="931"/>
      <c r="I1025" s="931"/>
      <c r="J1025" s="931"/>
      <c r="K1025" s="931"/>
      <c r="L1025" s="931"/>
      <c r="M1025" s="931"/>
      <c r="N1025" s="931"/>
      <c r="O1025" s="931"/>
      <c r="P1025" s="931"/>
      <c r="Q1025" s="931"/>
      <c r="R1025" s="931"/>
    </row>
    <row r="1026" spans="1:18" s="328" customFormat="1" ht="13.5" customHeight="1">
      <c r="A1026" s="331"/>
      <c r="B1026" s="331"/>
      <c r="C1026" s="332"/>
      <c r="D1026" s="331"/>
      <c r="E1026" s="333"/>
      <c r="F1026" s="271"/>
      <c r="G1026" s="931"/>
      <c r="H1026" s="931"/>
      <c r="I1026" s="931"/>
      <c r="J1026" s="931"/>
      <c r="K1026" s="931"/>
      <c r="L1026" s="931"/>
      <c r="M1026" s="931"/>
      <c r="N1026" s="931"/>
      <c r="O1026" s="931"/>
      <c r="P1026" s="931"/>
      <c r="Q1026" s="931"/>
      <c r="R1026" s="931"/>
    </row>
    <row r="1027" spans="1:18" s="328" customFormat="1" ht="13.5" customHeight="1">
      <c r="A1027" s="331"/>
      <c r="B1027" s="331"/>
      <c r="C1027" s="332"/>
      <c r="D1027" s="331"/>
      <c r="E1027" s="333"/>
      <c r="F1027" s="271"/>
      <c r="G1027" s="931"/>
      <c r="H1027" s="931"/>
      <c r="I1027" s="931"/>
      <c r="J1027" s="931"/>
      <c r="K1027" s="931"/>
      <c r="L1027" s="931"/>
      <c r="M1027" s="931"/>
      <c r="N1027" s="931"/>
      <c r="O1027" s="931"/>
      <c r="P1027" s="931"/>
      <c r="Q1027" s="931"/>
      <c r="R1027" s="931"/>
    </row>
    <row r="1028" spans="1:18" s="328" customFormat="1" ht="13.5" customHeight="1">
      <c r="A1028" s="331"/>
      <c r="B1028" s="331"/>
      <c r="C1028" s="332"/>
      <c r="D1028" s="331"/>
      <c r="E1028" s="333"/>
      <c r="F1028" s="271"/>
      <c r="G1028" s="931"/>
      <c r="H1028" s="931"/>
      <c r="I1028" s="931"/>
      <c r="J1028" s="931"/>
      <c r="K1028" s="931"/>
      <c r="L1028" s="931"/>
      <c r="M1028" s="931"/>
      <c r="N1028" s="931"/>
      <c r="O1028" s="931"/>
      <c r="P1028" s="931"/>
      <c r="Q1028" s="931"/>
      <c r="R1028" s="931"/>
    </row>
    <row r="1029" spans="1:18" s="328" customFormat="1" ht="13.5" customHeight="1">
      <c r="A1029" s="331"/>
      <c r="B1029" s="331"/>
      <c r="C1029" s="332"/>
      <c r="D1029" s="331"/>
      <c r="E1029" s="333"/>
      <c r="F1029" s="271"/>
      <c r="G1029" s="931"/>
      <c r="H1029" s="931"/>
      <c r="I1029" s="931"/>
      <c r="J1029" s="931"/>
      <c r="K1029" s="931"/>
      <c r="L1029" s="931"/>
      <c r="M1029" s="931"/>
      <c r="N1029" s="931"/>
      <c r="O1029" s="931"/>
      <c r="P1029" s="931"/>
      <c r="Q1029" s="931"/>
      <c r="R1029" s="931"/>
    </row>
    <row r="1030" spans="1:18" s="328" customFormat="1" ht="13.5" customHeight="1">
      <c r="A1030" s="331"/>
      <c r="B1030" s="331"/>
      <c r="C1030" s="332"/>
      <c r="D1030" s="331"/>
      <c r="E1030" s="333"/>
      <c r="F1030" s="271"/>
      <c r="G1030" s="931"/>
      <c r="H1030" s="931"/>
      <c r="I1030" s="931"/>
      <c r="J1030" s="931"/>
      <c r="K1030" s="931"/>
      <c r="L1030" s="931"/>
      <c r="M1030" s="931"/>
      <c r="N1030" s="931"/>
      <c r="O1030" s="931"/>
      <c r="P1030" s="931"/>
      <c r="Q1030" s="931"/>
      <c r="R1030" s="931"/>
    </row>
    <row r="1031" spans="1:18" s="328" customFormat="1" ht="13.5" customHeight="1">
      <c r="A1031" s="331"/>
      <c r="B1031" s="331"/>
      <c r="C1031" s="332"/>
      <c r="D1031" s="331"/>
      <c r="E1031" s="333"/>
      <c r="F1031" s="271"/>
      <c r="G1031" s="931"/>
      <c r="H1031" s="931"/>
      <c r="I1031" s="931"/>
      <c r="J1031" s="931"/>
      <c r="K1031" s="931"/>
      <c r="L1031" s="931"/>
      <c r="M1031" s="931"/>
      <c r="N1031" s="931"/>
      <c r="O1031" s="931"/>
      <c r="P1031" s="931"/>
      <c r="Q1031" s="931"/>
      <c r="R1031" s="931"/>
    </row>
    <row r="1032" spans="1:18" s="328" customFormat="1" ht="13.5" customHeight="1">
      <c r="A1032" s="331"/>
      <c r="B1032" s="331"/>
      <c r="C1032" s="332"/>
      <c r="D1032" s="331"/>
      <c r="E1032" s="333"/>
      <c r="F1032" s="271"/>
      <c r="G1032" s="931"/>
      <c r="H1032" s="931"/>
      <c r="I1032" s="931"/>
      <c r="J1032" s="931"/>
      <c r="K1032" s="931"/>
      <c r="L1032" s="931"/>
      <c r="M1032" s="931"/>
      <c r="N1032" s="931"/>
      <c r="O1032" s="931"/>
      <c r="P1032" s="931"/>
      <c r="Q1032" s="931"/>
      <c r="R1032" s="931"/>
    </row>
    <row r="1033" spans="1:18" s="328" customFormat="1" ht="13.5" customHeight="1">
      <c r="A1033" s="331"/>
      <c r="B1033" s="331"/>
      <c r="C1033" s="332"/>
      <c r="D1033" s="331"/>
      <c r="E1033" s="333"/>
      <c r="F1033" s="271"/>
      <c r="G1033" s="931"/>
      <c r="H1033" s="931"/>
      <c r="I1033" s="931"/>
      <c r="J1033" s="931"/>
      <c r="K1033" s="931"/>
      <c r="L1033" s="931"/>
      <c r="M1033" s="931"/>
      <c r="N1033" s="931"/>
      <c r="O1033" s="931"/>
      <c r="P1033" s="931"/>
      <c r="Q1033" s="931"/>
      <c r="R1033" s="931"/>
    </row>
    <row r="1034" spans="1:18" s="328" customFormat="1" ht="13.5" customHeight="1">
      <c r="A1034" s="331"/>
      <c r="B1034" s="331"/>
      <c r="C1034" s="332"/>
      <c r="D1034" s="331"/>
      <c r="E1034" s="333"/>
      <c r="F1034" s="271"/>
      <c r="G1034" s="931"/>
      <c r="H1034" s="931"/>
      <c r="I1034" s="931"/>
      <c r="J1034" s="931"/>
      <c r="K1034" s="931"/>
      <c r="L1034" s="931"/>
      <c r="M1034" s="931"/>
      <c r="N1034" s="931"/>
      <c r="O1034" s="931"/>
      <c r="P1034" s="931"/>
      <c r="Q1034" s="931"/>
      <c r="R1034" s="931"/>
    </row>
    <row r="1035" spans="1:18" s="328" customFormat="1" ht="13.5" customHeight="1">
      <c r="A1035" s="331"/>
      <c r="B1035" s="331"/>
      <c r="C1035" s="332"/>
      <c r="D1035" s="331"/>
      <c r="E1035" s="333"/>
      <c r="F1035" s="271"/>
      <c r="G1035" s="931"/>
      <c r="H1035" s="931"/>
      <c r="I1035" s="931"/>
      <c r="J1035" s="931"/>
      <c r="K1035" s="931"/>
      <c r="L1035" s="931"/>
      <c r="M1035" s="931"/>
      <c r="N1035" s="931"/>
      <c r="O1035" s="931"/>
      <c r="P1035" s="931"/>
      <c r="Q1035" s="931"/>
      <c r="R1035" s="931"/>
    </row>
    <row r="1036" spans="1:18" s="328" customFormat="1" ht="13.5" customHeight="1">
      <c r="A1036" s="331"/>
      <c r="B1036" s="331"/>
      <c r="C1036" s="332"/>
      <c r="D1036" s="331"/>
      <c r="E1036" s="333"/>
      <c r="F1036" s="271"/>
      <c r="G1036" s="931"/>
      <c r="H1036" s="931"/>
      <c r="I1036" s="931"/>
      <c r="J1036" s="931"/>
      <c r="K1036" s="931"/>
      <c r="L1036" s="931"/>
      <c r="M1036" s="931"/>
      <c r="N1036" s="931"/>
      <c r="O1036" s="931"/>
      <c r="P1036" s="931"/>
      <c r="Q1036" s="931"/>
      <c r="R1036" s="931"/>
    </row>
    <row r="1037" spans="1:18" s="328" customFormat="1" ht="13.5" customHeight="1">
      <c r="A1037" s="331"/>
      <c r="B1037" s="331"/>
      <c r="C1037" s="332"/>
      <c r="D1037" s="331"/>
      <c r="E1037" s="333"/>
      <c r="F1037" s="271"/>
      <c r="G1037" s="931"/>
      <c r="H1037" s="931"/>
      <c r="I1037" s="931"/>
      <c r="J1037" s="931"/>
      <c r="K1037" s="931"/>
      <c r="L1037" s="931"/>
      <c r="M1037" s="931"/>
      <c r="N1037" s="931"/>
      <c r="O1037" s="931"/>
      <c r="P1037" s="931"/>
      <c r="Q1037" s="931"/>
      <c r="R1037" s="931"/>
    </row>
    <row r="1038" spans="1:18" s="328" customFormat="1" ht="13.5" customHeight="1">
      <c r="A1038" s="331"/>
      <c r="B1038" s="331"/>
      <c r="C1038" s="332"/>
      <c r="D1038" s="331"/>
      <c r="E1038" s="333"/>
      <c r="F1038" s="271"/>
      <c r="G1038" s="931"/>
      <c r="H1038" s="931"/>
      <c r="I1038" s="931"/>
      <c r="J1038" s="931"/>
      <c r="K1038" s="931"/>
      <c r="L1038" s="931"/>
      <c r="M1038" s="931"/>
      <c r="N1038" s="931"/>
      <c r="O1038" s="931"/>
      <c r="P1038" s="931"/>
      <c r="Q1038" s="931"/>
      <c r="R1038" s="931"/>
    </row>
    <row r="1039" spans="1:18" s="328" customFormat="1" ht="13.5" customHeight="1">
      <c r="A1039" s="331"/>
      <c r="B1039" s="331"/>
      <c r="C1039" s="332"/>
      <c r="D1039" s="331"/>
      <c r="E1039" s="333"/>
      <c r="F1039" s="271"/>
      <c r="G1039" s="931"/>
      <c r="H1039" s="931"/>
      <c r="I1039" s="931"/>
      <c r="J1039" s="931"/>
      <c r="K1039" s="931"/>
      <c r="L1039" s="931"/>
      <c r="M1039" s="931"/>
      <c r="N1039" s="931"/>
      <c r="O1039" s="931"/>
      <c r="P1039" s="931"/>
      <c r="Q1039" s="931"/>
      <c r="R1039" s="931"/>
    </row>
    <row r="1040" spans="1:18" s="328" customFormat="1" ht="13.5" customHeight="1">
      <c r="A1040" s="331"/>
      <c r="B1040" s="331"/>
      <c r="C1040" s="332"/>
      <c r="D1040" s="331"/>
      <c r="E1040" s="333"/>
      <c r="F1040" s="271"/>
      <c r="G1040" s="931"/>
      <c r="H1040" s="931"/>
      <c r="I1040" s="931"/>
      <c r="J1040" s="931"/>
      <c r="K1040" s="931"/>
      <c r="L1040" s="931"/>
      <c r="M1040" s="931"/>
      <c r="N1040" s="931"/>
      <c r="O1040" s="931"/>
      <c r="P1040" s="931"/>
      <c r="Q1040" s="931"/>
      <c r="R1040" s="931"/>
    </row>
    <row r="1041" spans="1:18" s="328" customFormat="1" ht="13.5" customHeight="1">
      <c r="A1041" s="331"/>
      <c r="B1041" s="331"/>
      <c r="C1041" s="332"/>
      <c r="D1041" s="331"/>
      <c r="E1041" s="333"/>
      <c r="F1041" s="271"/>
      <c r="G1041" s="931"/>
      <c r="H1041" s="931"/>
      <c r="I1041" s="931"/>
      <c r="J1041" s="931"/>
      <c r="K1041" s="931"/>
      <c r="L1041" s="931"/>
      <c r="M1041" s="931"/>
      <c r="N1041" s="931"/>
      <c r="O1041" s="931"/>
      <c r="P1041" s="931"/>
      <c r="Q1041" s="931"/>
      <c r="R1041" s="931"/>
    </row>
    <row r="1042" spans="1:18" s="328" customFormat="1" ht="13.5" customHeight="1">
      <c r="A1042" s="331"/>
      <c r="B1042" s="331"/>
      <c r="C1042" s="332"/>
      <c r="D1042" s="331"/>
      <c r="E1042" s="333"/>
      <c r="F1042" s="271"/>
      <c r="G1042" s="931"/>
      <c r="H1042" s="931"/>
      <c r="I1042" s="931"/>
      <c r="J1042" s="931"/>
      <c r="K1042" s="931"/>
      <c r="L1042" s="931"/>
      <c r="M1042" s="931"/>
      <c r="N1042" s="931"/>
      <c r="O1042" s="931"/>
      <c r="P1042" s="931"/>
      <c r="Q1042" s="931"/>
      <c r="R1042" s="931"/>
    </row>
    <row r="1043" spans="1:18" s="328" customFormat="1" ht="13.5" customHeight="1">
      <c r="A1043" s="331"/>
      <c r="B1043" s="331"/>
      <c r="C1043" s="332"/>
      <c r="D1043" s="331"/>
      <c r="E1043" s="333"/>
      <c r="F1043" s="271"/>
      <c r="G1043" s="931"/>
      <c r="H1043" s="931"/>
      <c r="I1043" s="931"/>
      <c r="J1043" s="931"/>
      <c r="K1043" s="931"/>
      <c r="L1043" s="931"/>
      <c r="M1043" s="931"/>
      <c r="N1043" s="931"/>
      <c r="O1043" s="931"/>
      <c r="P1043" s="931"/>
      <c r="Q1043" s="931"/>
      <c r="R1043" s="931"/>
    </row>
    <row r="1044" spans="1:18" s="328" customFormat="1" ht="13.5" customHeight="1">
      <c r="A1044" s="331"/>
      <c r="B1044" s="331"/>
      <c r="C1044" s="332"/>
      <c r="D1044" s="331"/>
      <c r="E1044" s="333"/>
      <c r="F1044" s="271"/>
      <c r="G1044" s="931"/>
      <c r="H1044" s="931"/>
      <c r="I1044" s="931"/>
      <c r="J1044" s="931"/>
      <c r="K1044" s="931"/>
      <c r="L1044" s="931"/>
      <c r="M1044" s="931"/>
      <c r="N1044" s="931"/>
      <c r="O1044" s="931"/>
      <c r="P1044" s="931"/>
      <c r="Q1044" s="931"/>
      <c r="R1044" s="931"/>
    </row>
    <row r="1045" spans="1:18" s="328" customFormat="1" ht="13.5" customHeight="1">
      <c r="A1045" s="331"/>
      <c r="B1045" s="331"/>
      <c r="C1045" s="332"/>
      <c r="D1045" s="331"/>
      <c r="E1045" s="333"/>
      <c r="F1045" s="271"/>
      <c r="G1045" s="931"/>
      <c r="H1045" s="931"/>
      <c r="I1045" s="931"/>
      <c r="J1045" s="931"/>
      <c r="K1045" s="931"/>
      <c r="L1045" s="931"/>
      <c r="M1045" s="931"/>
      <c r="N1045" s="931"/>
      <c r="O1045" s="931"/>
      <c r="P1045" s="931"/>
      <c r="Q1045" s="931"/>
      <c r="R1045" s="931"/>
    </row>
    <row r="1046" spans="1:18" s="328" customFormat="1" ht="13.5" customHeight="1">
      <c r="A1046" s="331"/>
      <c r="B1046" s="331"/>
      <c r="C1046" s="332"/>
      <c r="D1046" s="331"/>
      <c r="E1046" s="333"/>
      <c r="F1046" s="271"/>
      <c r="G1046" s="931"/>
      <c r="H1046" s="931"/>
      <c r="I1046" s="931"/>
      <c r="J1046" s="931"/>
      <c r="K1046" s="931"/>
      <c r="L1046" s="931"/>
      <c r="M1046" s="931"/>
      <c r="N1046" s="931"/>
      <c r="O1046" s="931"/>
      <c r="P1046" s="931"/>
      <c r="Q1046" s="931"/>
      <c r="R1046" s="931"/>
    </row>
    <row r="1047" spans="1:18" s="328" customFormat="1" ht="13.5" customHeight="1">
      <c r="A1047" s="331"/>
      <c r="B1047" s="331"/>
      <c r="C1047" s="332"/>
      <c r="D1047" s="331"/>
      <c r="E1047" s="333"/>
      <c r="F1047" s="271"/>
      <c r="G1047" s="931"/>
      <c r="H1047" s="931"/>
      <c r="I1047" s="931"/>
      <c r="J1047" s="931"/>
      <c r="K1047" s="931"/>
      <c r="L1047" s="931"/>
      <c r="M1047" s="931"/>
      <c r="N1047" s="931"/>
      <c r="O1047" s="931"/>
      <c r="P1047" s="931"/>
      <c r="Q1047" s="931"/>
      <c r="R1047" s="931"/>
    </row>
    <row r="1048" spans="1:18" s="328" customFormat="1" ht="13.5" customHeight="1">
      <c r="A1048" s="331"/>
      <c r="B1048" s="331"/>
      <c r="C1048" s="332"/>
      <c r="D1048" s="331"/>
      <c r="E1048" s="333"/>
      <c r="F1048" s="271"/>
      <c r="G1048" s="931"/>
      <c r="H1048" s="931"/>
      <c r="I1048" s="931"/>
      <c r="J1048" s="931"/>
      <c r="K1048" s="931"/>
      <c r="L1048" s="931"/>
      <c r="M1048" s="931"/>
      <c r="N1048" s="931"/>
      <c r="O1048" s="931"/>
      <c r="P1048" s="931"/>
      <c r="Q1048" s="931"/>
      <c r="R1048" s="931"/>
    </row>
    <row r="1049" spans="1:18" s="328" customFormat="1" ht="13.5" customHeight="1">
      <c r="A1049" s="331"/>
      <c r="B1049" s="331"/>
      <c r="C1049" s="332"/>
      <c r="D1049" s="331"/>
      <c r="E1049" s="333"/>
      <c r="F1049" s="271"/>
      <c r="G1049" s="931"/>
      <c r="H1049" s="931"/>
      <c r="I1049" s="931"/>
      <c r="J1049" s="931"/>
      <c r="K1049" s="931"/>
      <c r="L1049" s="931"/>
      <c r="M1049" s="931"/>
      <c r="N1049" s="931"/>
      <c r="O1049" s="931"/>
      <c r="P1049" s="931"/>
      <c r="Q1049" s="931"/>
      <c r="R1049" s="931"/>
    </row>
    <row r="1050" spans="1:18" s="328" customFormat="1" ht="13.5" customHeight="1">
      <c r="A1050" s="331"/>
      <c r="B1050" s="331"/>
      <c r="C1050" s="332"/>
      <c r="D1050" s="331"/>
      <c r="E1050" s="333"/>
      <c r="F1050" s="271"/>
      <c r="G1050" s="931"/>
      <c r="H1050" s="931"/>
      <c r="I1050" s="931"/>
      <c r="J1050" s="931"/>
      <c r="K1050" s="931"/>
      <c r="L1050" s="931"/>
      <c r="M1050" s="931"/>
      <c r="N1050" s="931"/>
      <c r="O1050" s="931"/>
      <c r="P1050" s="931"/>
      <c r="Q1050" s="931"/>
      <c r="R1050" s="931"/>
    </row>
    <row r="1051" spans="1:18" s="328" customFormat="1" ht="13.5" customHeight="1">
      <c r="A1051" s="331"/>
      <c r="B1051" s="331"/>
      <c r="C1051" s="332"/>
      <c r="D1051" s="331"/>
      <c r="E1051" s="333"/>
      <c r="F1051" s="271"/>
      <c r="G1051" s="931"/>
      <c r="H1051" s="931"/>
      <c r="I1051" s="931"/>
      <c r="J1051" s="931"/>
      <c r="K1051" s="931"/>
      <c r="L1051" s="931"/>
      <c r="M1051" s="931"/>
      <c r="N1051" s="931"/>
      <c r="O1051" s="931"/>
      <c r="P1051" s="931"/>
      <c r="Q1051" s="931"/>
      <c r="R1051" s="931"/>
    </row>
    <row r="1052" spans="1:18" s="328" customFormat="1" ht="13.5" customHeight="1">
      <c r="A1052" s="331"/>
      <c r="B1052" s="331"/>
      <c r="C1052" s="332"/>
      <c r="D1052" s="331"/>
      <c r="E1052" s="333"/>
      <c r="F1052" s="271"/>
      <c r="G1052" s="931"/>
      <c r="H1052" s="931"/>
      <c r="I1052" s="931"/>
      <c r="J1052" s="931"/>
      <c r="K1052" s="931"/>
      <c r="L1052" s="931"/>
      <c r="M1052" s="931"/>
      <c r="N1052" s="931"/>
      <c r="O1052" s="931"/>
      <c r="P1052" s="931"/>
      <c r="Q1052" s="931"/>
      <c r="R1052" s="931"/>
    </row>
    <row r="1053" spans="1:18" s="328" customFormat="1" ht="13.5" customHeight="1">
      <c r="A1053" s="331"/>
      <c r="B1053" s="331"/>
      <c r="C1053" s="332"/>
      <c r="D1053" s="331"/>
      <c r="E1053" s="333"/>
      <c r="F1053" s="271"/>
      <c r="G1053" s="931"/>
      <c r="H1053" s="931"/>
      <c r="I1053" s="931"/>
      <c r="J1053" s="931"/>
      <c r="K1053" s="931"/>
      <c r="L1053" s="931"/>
      <c r="M1053" s="931"/>
      <c r="N1053" s="931"/>
      <c r="O1053" s="931"/>
      <c r="P1053" s="931"/>
      <c r="Q1053" s="931"/>
      <c r="R1053" s="931"/>
    </row>
    <row r="1054" spans="1:18" s="328" customFormat="1" ht="13.5" customHeight="1">
      <c r="A1054" s="331"/>
      <c r="B1054" s="331"/>
      <c r="C1054" s="332"/>
      <c r="D1054" s="331"/>
      <c r="E1054" s="333"/>
      <c r="F1054" s="271"/>
      <c r="G1054" s="931"/>
      <c r="H1054" s="931"/>
      <c r="I1054" s="931"/>
      <c r="J1054" s="931"/>
      <c r="K1054" s="931"/>
      <c r="L1054" s="931"/>
      <c r="M1054" s="931"/>
      <c r="N1054" s="931"/>
      <c r="O1054" s="931"/>
      <c r="P1054" s="931"/>
      <c r="Q1054" s="931"/>
      <c r="R1054" s="931"/>
    </row>
    <row r="1055" spans="1:18" s="328" customFormat="1" ht="13.5" customHeight="1">
      <c r="A1055" s="331"/>
      <c r="B1055" s="331"/>
      <c r="C1055" s="332"/>
      <c r="D1055" s="331"/>
      <c r="E1055" s="333"/>
      <c r="F1055" s="271"/>
      <c r="G1055" s="931"/>
      <c r="H1055" s="931"/>
      <c r="I1055" s="931"/>
      <c r="J1055" s="931"/>
      <c r="K1055" s="931"/>
      <c r="L1055" s="931"/>
      <c r="M1055" s="931"/>
      <c r="N1055" s="931"/>
      <c r="O1055" s="931"/>
      <c r="P1055" s="931"/>
      <c r="Q1055" s="931"/>
      <c r="R1055" s="931"/>
    </row>
    <row r="1056" spans="1:18" s="328" customFormat="1" ht="13.5" customHeight="1">
      <c r="A1056" s="331"/>
      <c r="B1056" s="331"/>
      <c r="C1056" s="332"/>
      <c r="D1056" s="331"/>
      <c r="E1056" s="333"/>
      <c r="F1056" s="271"/>
      <c r="G1056" s="931"/>
      <c r="H1056" s="931"/>
      <c r="I1056" s="931"/>
      <c r="J1056" s="931"/>
      <c r="K1056" s="931"/>
      <c r="L1056" s="931"/>
      <c r="M1056" s="931"/>
      <c r="N1056" s="931"/>
      <c r="O1056" s="931"/>
      <c r="P1056" s="931"/>
      <c r="Q1056" s="931"/>
      <c r="R1056" s="931"/>
    </row>
    <row r="1057" spans="1:18" s="328" customFormat="1" ht="13.5" customHeight="1">
      <c r="A1057" s="331"/>
      <c r="B1057" s="331"/>
      <c r="C1057" s="332"/>
      <c r="D1057" s="331"/>
      <c r="E1057" s="333"/>
      <c r="F1057" s="271"/>
      <c r="G1057" s="931"/>
      <c r="H1057" s="931"/>
      <c r="I1057" s="931"/>
      <c r="J1057" s="931"/>
      <c r="K1057" s="931"/>
      <c r="L1057" s="931"/>
      <c r="M1057" s="931"/>
      <c r="N1057" s="931"/>
      <c r="O1057" s="931"/>
      <c r="P1057" s="931"/>
      <c r="Q1057" s="931"/>
      <c r="R1057" s="931"/>
    </row>
    <row r="1058" spans="1:18" s="328" customFormat="1" ht="13.5" customHeight="1">
      <c r="A1058" s="331"/>
      <c r="B1058" s="331"/>
      <c r="C1058" s="332"/>
      <c r="D1058" s="331"/>
      <c r="E1058" s="333"/>
      <c r="F1058" s="271"/>
      <c r="G1058" s="931"/>
      <c r="H1058" s="931"/>
      <c r="I1058" s="931"/>
      <c r="J1058" s="931"/>
      <c r="K1058" s="931"/>
      <c r="L1058" s="931"/>
      <c r="M1058" s="931"/>
      <c r="N1058" s="931"/>
      <c r="O1058" s="931"/>
      <c r="P1058" s="931"/>
      <c r="Q1058" s="931"/>
      <c r="R1058" s="931"/>
    </row>
    <row r="1059" spans="1:18" s="328" customFormat="1" ht="13.5" customHeight="1">
      <c r="A1059" s="331"/>
      <c r="B1059" s="331"/>
      <c r="C1059" s="332"/>
      <c r="D1059" s="331"/>
      <c r="E1059" s="333"/>
      <c r="F1059" s="271"/>
      <c r="G1059" s="931"/>
      <c r="H1059" s="931"/>
      <c r="I1059" s="931"/>
      <c r="J1059" s="931"/>
      <c r="K1059" s="931"/>
      <c r="L1059" s="931"/>
      <c r="M1059" s="931"/>
      <c r="N1059" s="931"/>
      <c r="O1059" s="931"/>
      <c r="P1059" s="931"/>
      <c r="Q1059" s="931"/>
      <c r="R1059" s="931"/>
    </row>
    <row r="1060" spans="1:18" s="328" customFormat="1" ht="13.5" customHeight="1">
      <c r="A1060" s="331"/>
      <c r="B1060" s="331"/>
      <c r="C1060" s="332"/>
      <c r="D1060" s="331"/>
      <c r="E1060" s="333"/>
      <c r="F1060" s="271"/>
      <c r="G1060" s="931"/>
      <c r="H1060" s="931"/>
      <c r="I1060" s="931"/>
      <c r="J1060" s="931"/>
      <c r="K1060" s="931"/>
      <c r="L1060" s="931"/>
      <c r="M1060" s="931"/>
      <c r="N1060" s="931"/>
      <c r="O1060" s="931"/>
      <c r="P1060" s="931"/>
      <c r="Q1060" s="931"/>
      <c r="R1060" s="931"/>
    </row>
    <row r="1061" spans="1:18" s="328" customFormat="1" ht="13.5" customHeight="1">
      <c r="A1061" s="331"/>
      <c r="B1061" s="331"/>
      <c r="C1061" s="332"/>
      <c r="D1061" s="331"/>
      <c r="E1061" s="333"/>
      <c r="F1061" s="271"/>
      <c r="G1061" s="931"/>
      <c r="H1061" s="931"/>
      <c r="I1061" s="931"/>
      <c r="J1061" s="931"/>
      <c r="K1061" s="931"/>
      <c r="L1061" s="931"/>
      <c r="M1061" s="931"/>
      <c r="N1061" s="931"/>
      <c r="O1061" s="931"/>
      <c r="P1061" s="931"/>
      <c r="Q1061" s="931"/>
      <c r="R1061" s="931"/>
    </row>
    <row r="1062" spans="1:18" s="328" customFormat="1" ht="13.5" customHeight="1">
      <c r="A1062" s="331"/>
      <c r="B1062" s="331"/>
      <c r="C1062" s="332"/>
      <c r="D1062" s="331"/>
      <c r="E1062" s="333"/>
      <c r="F1062" s="271"/>
      <c r="G1062" s="931"/>
      <c r="H1062" s="931"/>
      <c r="I1062" s="931"/>
      <c r="J1062" s="931"/>
      <c r="K1062" s="931"/>
      <c r="L1062" s="931"/>
      <c r="M1062" s="931"/>
      <c r="N1062" s="931"/>
      <c r="O1062" s="931"/>
      <c r="P1062" s="931"/>
      <c r="Q1062" s="931"/>
      <c r="R1062" s="931"/>
    </row>
    <row r="1063" spans="1:18" s="328" customFormat="1" ht="13.5" customHeight="1">
      <c r="A1063" s="331"/>
      <c r="B1063" s="331"/>
      <c r="C1063" s="332"/>
      <c r="D1063" s="331"/>
      <c r="E1063" s="333"/>
      <c r="F1063" s="271"/>
      <c r="G1063" s="931"/>
      <c r="H1063" s="931"/>
      <c r="I1063" s="931"/>
      <c r="J1063" s="931"/>
      <c r="K1063" s="931"/>
      <c r="L1063" s="931"/>
      <c r="M1063" s="931"/>
      <c r="N1063" s="931"/>
      <c r="O1063" s="931"/>
      <c r="P1063" s="931"/>
      <c r="Q1063" s="931"/>
      <c r="R1063" s="931"/>
    </row>
    <row r="1064" spans="1:18" s="328" customFormat="1" ht="13.5" customHeight="1">
      <c r="A1064" s="331"/>
      <c r="B1064" s="331"/>
      <c r="C1064" s="332"/>
      <c r="D1064" s="331"/>
      <c r="E1064" s="333"/>
      <c r="F1064" s="271"/>
      <c r="G1064" s="931"/>
      <c r="H1064" s="931"/>
      <c r="I1064" s="931"/>
      <c r="J1064" s="931"/>
      <c r="K1064" s="931"/>
      <c r="L1064" s="931"/>
      <c r="M1064" s="931"/>
      <c r="N1064" s="931"/>
      <c r="O1064" s="931"/>
      <c r="P1064" s="931"/>
      <c r="Q1064" s="931"/>
      <c r="R1064" s="931"/>
    </row>
    <row r="1065" spans="1:18" s="328" customFormat="1" ht="13.5" customHeight="1">
      <c r="A1065" s="331"/>
      <c r="B1065" s="331"/>
      <c r="C1065" s="332"/>
      <c r="D1065" s="331"/>
      <c r="E1065" s="333"/>
      <c r="F1065" s="271"/>
      <c r="G1065" s="931"/>
      <c r="H1065" s="931"/>
      <c r="I1065" s="931"/>
      <c r="J1065" s="931"/>
      <c r="K1065" s="931"/>
      <c r="L1065" s="931"/>
      <c r="M1065" s="931"/>
      <c r="N1065" s="931"/>
      <c r="O1065" s="931"/>
      <c r="P1065" s="931"/>
      <c r="Q1065" s="931"/>
      <c r="R1065" s="931"/>
    </row>
    <row r="1066" spans="1:18" s="328" customFormat="1" ht="13.5" customHeight="1">
      <c r="A1066" s="331"/>
      <c r="B1066" s="331"/>
      <c r="C1066" s="332"/>
      <c r="D1066" s="331"/>
      <c r="E1066" s="333"/>
      <c r="F1066" s="271"/>
      <c r="G1066" s="931"/>
      <c r="H1066" s="931"/>
      <c r="I1066" s="931"/>
      <c r="J1066" s="931"/>
      <c r="K1066" s="931"/>
      <c r="L1066" s="931"/>
      <c r="M1066" s="931"/>
      <c r="N1066" s="931"/>
      <c r="O1066" s="931"/>
      <c r="P1066" s="931"/>
      <c r="Q1066" s="931"/>
      <c r="R1066" s="931"/>
    </row>
    <row r="1067" spans="1:18" s="328" customFormat="1" ht="13.5" customHeight="1">
      <c r="A1067" s="331"/>
      <c r="B1067" s="331"/>
      <c r="C1067" s="332"/>
      <c r="D1067" s="331"/>
      <c r="E1067" s="333"/>
      <c r="F1067" s="271"/>
      <c r="G1067" s="931"/>
      <c r="H1067" s="931"/>
      <c r="I1067" s="931"/>
      <c r="J1067" s="931"/>
      <c r="K1067" s="931"/>
      <c r="L1067" s="931"/>
      <c r="M1067" s="931"/>
      <c r="N1067" s="931"/>
      <c r="O1067" s="931"/>
      <c r="P1067" s="931"/>
      <c r="Q1067" s="931"/>
      <c r="R1067" s="931"/>
    </row>
    <row r="1068" spans="1:18" s="328" customFormat="1" ht="13.5" customHeight="1">
      <c r="A1068" s="331"/>
      <c r="B1068" s="331"/>
      <c r="C1068" s="332"/>
      <c r="D1068" s="331"/>
      <c r="E1068" s="333"/>
      <c r="F1068" s="271"/>
      <c r="G1068" s="931"/>
      <c r="H1068" s="931"/>
      <c r="I1068" s="931"/>
      <c r="J1068" s="931"/>
      <c r="K1068" s="931"/>
      <c r="L1068" s="931"/>
      <c r="M1068" s="931"/>
      <c r="N1068" s="931"/>
      <c r="O1068" s="931"/>
      <c r="P1068" s="931"/>
      <c r="Q1068" s="931"/>
      <c r="R1068" s="931"/>
    </row>
    <row r="1069" spans="1:18" s="328" customFormat="1" ht="13.5" customHeight="1">
      <c r="A1069" s="331"/>
      <c r="B1069" s="331"/>
      <c r="C1069" s="332"/>
      <c r="D1069" s="331"/>
      <c r="E1069" s="333"/>
      <c r="F1069" s="271"/>
      <c r="G1069" s="931"/>
      <c r="H1069" s="931"/>
      <c r="I1069" s="931"/>
      <c r="J1069" s="931"/>
      <c r="K1069" s="931"/>
      <c r="L1069" s="931"/>
      <c r="M1069" s="931"/>
      <c r="N1069" s="931"/>
      <c r="O1069" s="931"/>
      <c r="P1069" s="931"/>
      <c r="Q1069" s="931"/>
      <c r="R1069" s="931"/>
    </row>
    <row r="1070" spans="1:18" s="328" customFormat="1" ht="13.5" customHeight="1">
      <c r="A1070" s="331"/>
      <c r="B1070" s="331"/>
      <c r="C1070" s="332"/>
      <c r="D1070" s="331"/>
      <c r="E1070" s="333"/>
      <c r="F1070" s="271"/>
      <c r="G1070" s="931"/>
      <c r="H1070" s="931"/>
      <c r="I1070" s="931"/>
      <c r="J1070" s="931"/>
      <c r="K1070" s="931"/>
      <c r="L1070" s="931"/>
      <c r="M1070" s="931"/>
      <c r="N1070" s="931"/>
      <c r="O1070" s="931"/>
      <c r="P1070" s="931"/>
      <c r="Q1070" s="931"/>
      <c r="R1070" s="931"/>
    </row>
    <row r="1071" spans="1:18" s="328" customFormat="1" ht="13.5" customHeight="1">
      <c r="A1071" s="331"/>
      <c r="B1071" s="331"/>
      <c r="C1071" s="332"/>
      <c r="D1071" s="331"/>
      <c r="E1071" s="333"/>
      <c r="F1071" s="271"/>
      <c r="G1071" s="931"/>
      <c r="H1071" s="931"/>
      <c r="I1071" s="931"/>
      <c r="J1071" s="931"/>
      <c r="K1071" s="931"/>
      <c r="L1071" s="931"/>
      <c r="M1071" s="931"/>
      <c r="N1071" s="931"/>
      <c r="O1071" s="931"/>
      <c r="P1071" s="931"/>
      <c r="Q1071" s="931"/>
      <c r="R1071" s="931"/>
    </row>
    <row r="1072" spans="1:18" s="328" customFormat="1" ht="13.5" customHeight="1">
      <c r="A1072" s="331"/>
      <c r="B1072" s="331"/>
      <c r="C1072" s="332"/>
      <c r="D1072" s="331"/>
      <c r="E1072" s="333"/>
      <c r="F1072" s="271"/>
      <c r="G1072" s="931"/>
      <c r="H1072" s="931"/>
      <c r="I1072" s="931"/>
      <c r="J1072" s="931"/>
      <c r="K1072" s="931"/>
      <c r="L1072" s="931"/>
      <c r="M1072" s="931"/>
      <c r="N1072" s="931"/>
      <c r="O1072" s="931"/>
      <c r="P1072" s="931"/>
      <c r="Q1072" s="931"/>
      <c r="R1072" s="931"/>
    </row>
    <row r="1073" spans="1:18" s="328" customFormat="1" ht="13.5" customHeight="1">
      <c r="A1073" s="331"/>
      <c r="B1073" s="331"/>
      <c r="C1073" s="332"/>
      <c r="D1073" s="331"/>
      <c r="E1073" s="333"/>
      <c r="F1073" s="271"/>
      <c r="G1073" s="931"/>
      <c r="H1073" s="931"/>
      <c r="I1073" s="931"/>
      <c r="J1073" s="931"/>
      <c r="K1073" s="931"/>
      <c r="L1073" s="931"/>
      <c r="M1073" s="931"/>
      <c r="N1073" s="931"/>
      <c r="O1073" s="931"/>
      <c r="P1073" s="931"/>
      <c r="Q1073" s="931"/>
      <c r="R1073" s="931"/>
    </row>
    <row r="1074" spans="1:18" s="328" customFormat="1" ht="13.5" customHeight="1">
      <c r="A1074" s="331"/>
      <c r="B1074" s="331"/>
      <c r="C1074" s="332"/>
      <c r="D1074" s="331"/>
      <c r="E1074" s="333"/>
      <c r="F1074" s="271"/>
      <c r="G1074" s="931"/>
      <c r="H1074" s="931"/>
      <c r="I1074" s="931"/>
      <c r="J1074" s="931"/>
      <c r="K1074" s="931"/>
      <c r="L1074" s="931"/>
      <c r="M1074" s="931"/>
      <c r="N1074" s="931"/>
      <c r="O1074" s="931"/>
      <c r="P1074" s="931"/>
      <c r="Q1074" s="931"/>
      <c r="R1074" s="931"/>
    </row>
    <row r="1075" spans="1:18" s="328" customFormat="1" ht="13.5" customHeight="1">
      <c r="A1075" s="331"/>
      <c r="B1075" s="331"/>
      <c r="C1075" s="332"/>
      <c r="D1075" s="331"/>
      <c r="E1075" s="333"/>
      <c r="F1075" s="271"/>
      <c r="G1075" s="931"/>
      <c r="H1075" s="931"/>
      <c r="I1075" s="931"/>
      <c r="J1075" s="931"/>
      <c r="K1075" s="931"/>
      <c r="L1075" s="931"/>
      <c r="M1075" s="931"/>
      <c r="N1075" s="931"/>
      <c r="O1075" s="931"/>
      <c r="P1075" s="931"/>
      <c r="Q1075" s="931"/>
      <c r="R1075" s="931"/>
    </row>
    <row r="1076" spans="1:18" s="328" customFormat="1" ht="13.5" customHeight="1">
      <c r="A1076" s="331"/>
      <c r="B1076" s="331"/>
      <c r="C1076" s="332"/>
      <c r="D1076" s="331"/>
      <c r="E1076" s="333"/>
      <c r="F1076" s="271"/>
      <c r="G1076" s="931"/>
      <c r="H1076" s="931"/>
      <c r="I1076" s="931"/>
      <c r="J1076" s="931"/>
      <c r="K1076" s="931"/>
      <c r="L1076" s="931"/>
      <c r="M1076" s="931"/>
      <c r="N1076" s="931"/>
      <c r="O1076" s="931"/>
      <c r="P1076" s="931"/>
      <c r="Q1076" s="931"/>
      <c r="R1076" s="931"/>
    </row>
    <row r="1077" spans="1:18" s="328" customFormat="1" ht="13.5" customHeight="1">
      <c r="A1077" s="331"/>
      <c r="B1077" s="331"/>
      <c r="C1077" s="332"/>
      <c r="D1077" s="331"/>
      <c r="E1077" s="333"/>
      <c r="F1077" s="271"/>
      <c r="G1077" s="931"/>
      <c r="H1077" s="931"/>
      <c r="I1077" s="931"/>
      <c r="J1077" s="931"/>
      <c r="K1077" s="931"/>
      <c r="L1077" s="931"/>
      <c r="M1077" s="931"/>
      <c r="N1077" s="931"/>
      <c r="O1077" s="931"/>
      <c r="P1077" s="931"/>
      <c r="Q1077" s="931"/>
      <c r="R1077" s="931"/>
    </row>
    <row r="1078" spans="1:18" s="328" customFormat="1" ht="13.5" customHeight="1">
      <c r="A1078" s="331"/>
      <c r="B1078" s="331"/>
      <c r="C1078" s="332"/>
      <c r="D1078" s="331"/>
      <c r="E1078" s="333"/>
      <c r="F1078" s="271"/>
      <c r="G1078" s="931"/>
      <c r="H1078" s="931"/>
      <c r="I1078" s="931"/>
      <c r="J1078" s="931"/>
      <c r="K1078" s="931"/>
      <c r="L1078" s="931"/>
      <c r="M1078" s="931"/>
      <c r="N1078" s="931"/>
      <c r="O1078" s="931"/>
      <c r="P1078" s="931"/>
      <c r="Q1078" s="931"/>
      <c r="R1078" s="931"/>
    </row>
    <row r="1079" spans="1:18" s="328" customFormat="1" ht="13.5" customHeight="1">
      <c r="A1079" s="331"/>
      <c r="B1079" s="331"/>
      <c r="C1079" s="332"/>
      <c r="D1079" s="331"/>
      <c r="E1079" s="333"/>
      <c r="F1079" s="271"/>
      <c r="G1079" s="931"/>
      <c r="H1079" s="931"/>
      <c r="I1079" s="931"/>
      <c r="J1079" s="931"/>
      <c r="K1079" s="931"/>
      <c r="L1079" s="931"/>
      <c r="M1079" s="931"/>
      <c r="N1079" s="931"/>
      <c r="O1079" s="931"/>
      <c r="P1079" s="931"/>
      <c r="Q1079" s="931"/>
      <c r="R1079" s="931"/>
    </row>
    <row r="1080" spans="1:18" s="328" customFormat="1" ht="13.5" customHeight="1">
      <c r="A1080" s="331"/>
      <c r="B1080" s="331"/>
      <c r="C1080" s="332"/>
      <c r="D1080" s="331"/>
      <c r="E1080" s="333"/>
      <c r="F1080" s="271"/>
      <c r="G1080" s="931"/>
      <c r="H1080" s="931"/>
      <c r="I1080" s="931"/>
      <c r="J1080" s="931"/>
      <c r="K1080" s="931"/>
      <c r="L1080" s="931"/>
      <c r="M1080" s="931"/>
      <c r="N1080" s="931"/>
      <c r="O1080" s="931"/>
      <c r="P1080" s="931"/>
      <c r="Q1080" s="931"/>
      <c r="R1080" s="931"/>
    </row>
    <row r="1081" spans="1:18" s="328" customFormat="1" ht="13.5" customHeight="1">
      <c r="A1081" s="331"/>
      <c r="B1081" s="331"/>
      <c r="C1081" s="332"/>
      <c r="D1081" s="331"/>
      <c r="E1081" s="333"/>
      <c r="F1081" s="271"/>
      <c r="G1081" s="931"/>
      <c r="H1081" s="931"/>
      <c r="I1081" s="931"/>
      <c r="J1081" s="931"/>
      <c r="K1081" s="931"/>
      <c r="L1081" s="931"/>
      <c r="M1081" s="931"/>
      <c r="N1081" s="931"/>
      <c r="O1081" s="931"/>
      <c r="P1081" s="931"/>
      <c r="Q1081" s="931"/>
      <c r="R1081" s="931"/>
    </row>
    <row r="1082" spans="1:18" s="328" customFormat="1" ht="13.5" customHeight="1">
      <c r="A1082" s="331"/>
      <c r="B1082" s="331"/>
      <c r="C1082" s="332"/>
      <c r="D1082" s="331"/>
      <c r="E1082" s="333"/>
      <c r="F1082" s="271"/>
      <c r="G1082" s="931"/>
      <c r="H1082" s="931"/>
      <c r="I1082" s="931"/>
      <c r="J1082" s="931"/>
      <c r="K1082" s="931"/>
      <c r="L1082" s="931"/>
      <c r="M1082" s="931"/>
      <c r="N1082" s="931"/>
      <c r="O1082" s="931"/>
      <c r="P1082" s="931"/>
      <c r="Q1082" s="931"/>
      <c r="R1082" s="931"/>
    </row>
    <row r="1083" spans="1:18" s="328" customFormat="1" ht="13.5" customHeight="1">
      <c r="A1083" s="331"/>
      <c r="B1083" s="331"/>
      <c r="C1083" s="332"/>
      <c r="D1083" s="331"/>
      <c r="E1083" s="333"/>
      <c r="F1083" s="271"/>
      <c r="G1083" s="931"/>
      <c r="H1083" s="931"/>
      <c r="I1083" s="931"/>
      <c r="J1083" s="931"/>
      <c r="K1083" s="931"/>
      <c r="L1083" s="931"/>
      <c r="M1083" s="931"/>
      <c r="N1083" s="931"/>
      <c r="O1083" s="931"/>
      <c r="P1083" s="931"/>
      <c r="Q1083" s="931"/>
      <c r="R1083" s="931"/>
    </row>
    <row r="1084" spans="1:18" s="328" customFormat="1" ht="13.5" customHeight="1">
      <c r="A1084" s="331"/>
      <c r="B1084" s="331"/>
      <c r="C1084" s="332"/>
      <c r="D1084" s="331"/>
      <c r="E1084" s="333"/>
      <c r="F1084" s="271"/>
      <c r="G1084" s="931"/>
      <c r="H1084" s="931"/>
      <c r="I1084" s="931"/>
      <c r="J1084" s="931"/>
      <c r="K1084" s="931"/>
      <c r="L1084" s="931"/>
      <c r="M1084" s="931"/>
      <c r="N1084" s="931"/>
      <c r="O1084" s="931"/>
      <c r="P1084" s="931"/>
      <c r="Q1084" s="931"/>
      <c r="R1084" s="931"/>
    </row>
    <row r="1085" spans="1:18" s="328" customFormat="1" ht="13.5" customHeight="1">
      <c r="A1085" s="331"/>
      <c r="B1085" s="331"/>
      <c r="C1085" s="332"/>
      <c r="D1085" s="331"/>
      <c r="E1085" s="333"/>
      <c r="F1085" s="271"/>
      <c r="G1085" s="931"/>
      <c r="H1085" s="931"/>
      <c r="I1085" s="931"/>
      <c r="J1085" s="931"/>
      <c r="K1085" s="931"/>
      <c r="L1085" s="931"/>
      <c r="M1085" s="931"/>
      <c r="N1085" s="931"/>
      <c r="O1085" s="931"/>
      <c r="P1085" s="931"/>
      <c r="Q1085" s="931"/>
      <c r="R1085" s="931"/>
    </row>
    <row r="1086" spans="1:18" s="328" customFormat="1" ht="13.5" customHeight="1">
      <c r="A1086" s="331"/>
      <c r="B1086" s="331"/>
      <c r="C1086" s="332"/>
      <c r="D1086" s="331"/>
      <c r="E1086" s="333"/>
      <c r="F1086" s="271"/>
      <c r="G1086" s="931"/>
      <c r="H1086" s="931"/>
      <c r="I1086" s="931"/>
      <c r="J1086" s="931"/>
      <c r="K1086" s="931"/>
      <c r="L1086" s="931"/>
      <c r="M1086" s="931"/>
      <c r="N1086" s="931"/>
      <c r="O1086" s="931"/>
      <c r="P1086" s="931"/>
      <c r="Q1086" s="931"/>
      <c r="R1086" s="931"/>
    </row>
    <row r="1087" spans="1:18" s="328" customFormat="1" ht="13.5" customHeight="1">
      <c r="A1087" s="331"/>
      <c r="B1087" s="331"/>
      <c r="C1087" s="332"/>
      <c r="D1087" s="331"/>
      <c r="E1087" s="333"/>
      <c r="F1087" s="271"/>
      <c r="G1087" s="931"/>
      <c r="H1087" s="931"/>
      <c r="I1087" s="931"/>
      <c r="J1087" s="931"/>
      <c r="K1087" s="931"/>
      <c r="L1087" s="931"/>
      <c r="M1087" s="931"/>
      <c r="N1087" s="931"/>
      <c r="O1087" s="931"/>
      <c r="P1087" s="931"/>
      <c r="Q1087" s="931"/>
      <c r="R1087" s="931"/>
    </row>
    <row r="1088" spans="1:18" s="328" customFormat="1" ht="13.5" customHeight="1">
      <c r="A1088" s="331"/>
      <c r="B1088" s="331"/>
      <c r="C1088" s="332"/>
      <c r="D1088" s="331"/>
      <c r="E1088" s="333"/>
      <c r="F1088" s="271"/>
      <c r="G1088" s="931"/>
      <c r="H1088" s="931"/>
      <c r="I1088" s="931"/>
      <c r="J1088" s="931"/>
      <c r="K1088" s="931"/>
      <c r="L1088" s="931"/>
      <c r="M1088" s="931"/>
      <c r="N1088" s="931"/>
      <c r="O1088" s="931"/>
      <c r="P1088" s="931"/>
      <c r="Q1088" s="931"/>
      <c r="R1088" s="931"/>
    </row>
    <row r="1089" spans="1:18" s="328" customFormat="1" ht="13.5" customHeight="1">
      <c r="A1089" s="331"/>
      <c r="B1089" s="331"/>
      <c r="C1089" s="332"/>
      <c r="D1089" s="331"/>
      <c r="E1089" s="333"/>
      <c r="F1089" s="271"/>
      <c r="G1089" s="931"/>
      <c r="H1089" s="931"/>
      <c r="I1089" s="931"/>
      <c r="J1089" s="931"/>
      <c r="K1089" s="931"/>
      <c r="L1089" s="931"/>
      <c r="M1089" s="931"/>
      <c r="N1089" s="931"/>
      <c r="O1089" s="931"/>
      <c r="P1089" s="931"/>
      <c r="Q1089" s="931"/>
      <c r="R1089" s="931"/>
    </row>
    <row r="1090" spans="1:18" s="328" customFormat="1" ht="13.5" customHeight="1">
      <c r="A1090" s="331"/>
      <c r="B1090" s="331"/>
      <c r="C1090" s="332"/>
      <c r="D1090" s="331"/>
      <c r="E1090" s="333"/>
      <c r="F1090" s="271"/>
      <c r="G1090" s="931"/>
      <c r="H1090" s="931"/>
      <c r="I1090" s="931"/>
      <c r="J1090" s="931"/>
      <c r="K1090" s="931"/>
      <c r="L1090" s="931"/>
      <c r="M1090" s="931"/>
      <c r="N1090" s="931"/>
      <c r="O1090" s="931"/>
      <c r="P1090" s="931"/>
      <c r="Q1090" s="931"/>
      <c r="R1090" s="931"/>
    </row>
    <row r="1091" spans="1:18" s="328" customFormat="1" ht="13.5" customHeight="1">
      <c r="A1091" s="331"/>
      <c r="B1091" s="331"/>
      <c r="C1091" s="332"/>
      <c r="D1091" s="331"/>
      <c r="E1091" s="333"/>
      <c r="F1091" s="271"/>
      <c r="G1091" s="931"/>
      <c r="H1091" s="931"/>
      <c r="I1091" s="931"/>
      <c r="J1091" s="931"/>
      <c r="K1091" s="931"/>
      <c r="L1091" s="931"/>
      <c r="M1091" s="931"/>
      <c r="N1091" s="931"/>
      <c r="O1091" s="931"/>
      <c r="P1091" s="931"/>
      <c r="Q1091" s="931"/>
      <c r="R1091" s="931"/>
    </row>
    <row r="1092" spans="1:18" s="328" customFormat="1" ht="13.5" customHeight="1">
      <c r="A1092" s="331"/>
      <c r="B1092" s="331"/>
      <c r="C1092" s="332"/>
      <c r="D1092" s="331"/>
      <c r="E1092" s="333"/>
      <c r="F1092" s="271"/>
      <c r="G1092" s="931"/>
      <c r="H1092" s="931"/>
      <c r="I1092" s="931"/>
      <c r="J1092" s="931"/>
      <c r="K1092" s="931"/>
      <c r="L1092" s="931"/>
      <c r="M1092" s="931"/>
      <c r="N1092" s="931"/>
      <c r="O1092" s="931"/>
      <c r="P1092" s="931"/>
      <c r="Q1092" s="931"/>
      <c r="R1092" s="931"/>
    </row>
    <row r="1093" spans="1:18" s="328" customFormat="1" ht="13.5" customHeight="1">
      <c r="A1093" s="331"/>
      <c r="B1093" s="331"/>
      <c r="C1093" s="332"/>
      <c r="D1093" s="331"/>
      <c r="E1093" s="333"/>
      <c r="F1093" s="271"/>
      <c r="G1093" s="931"/>
      <c r="H1093" s="931"/>
      <c r="I1093" s="931"/>
      <c r="J1093" s="931"/>
      <c r="K1093" s="931"/>
      <c r="L1093" s="931"/>
      <c r="M1093" s="931"/>
      <c r="N1093" s="931"/>
      <c r="O1093" s="931"/>
      <c r="P1093" s="931"/>
      <c r="Q1093" s="931"/>
      <c r="R1093" s="931"/>
    </row>
    <row r="1094" spans="1:18" s="328" customFormat="1" ht="13.5" customHeight="1">
      <c r="A1094" s="331"/>
      <c r="B1094" s="331"/>
      <c r="C1094" s="332"/>
      <c r="D1094" s="331"/>
      <c r="E1094" s="333"/>
      <c r="F1094" s="271"/>
      <c r="G1094" s="931"/>
      <c r="H1094" s="931"/>
      <c r="I1094" s="931"/>
      <c r="J1094" s="931"/>
      <c r="K1094" s="931"/>
      <c r="L1094" s="931"/>
      <c r="M1094" s="931"/>
      <c r="N1094" s="931"/>
      <c r="O1094" s="931"/>
      <c r="P1094" s="931"/>
      <c r="Q1094" s="931"/>
      <c r="R1094" s="931"/>
    </row>
    <row r="1095" spans="1:18" s="328" customFormat="1" ht="13.5" customHeight="1">
      <c r="A1095" s="331"/>
      <c r="B1095" s="331"/>
      <c r="C1095" s="332"/>
      <c r="D1095" s="331"/>
      <c r="E1095" s="333"/>
      <c r="F1095" s="271"/>
      <c r="G1095" s="931"/>
      <c r="H1095" s="931"/>
      <c r="I1095" s="931"/>
      <c r="J1095" s="931"/>
      <c r="K1095" s="931"/>
      <c r="L1095" s="931"/>
      <c r="M1095" s="931"/>
      <c r="N1095" s="931"/>
      <c r="O1095" s="931"/>
      <c r="P1095" s="931"/>
      <c r="Q1095" s="931"/>
      <c r="R1095" s="931"/>
    </row>
    <row r="1096" spans="1:18" s="328" customFormat="1" ht="13.5" customHeight="1">
      <c r="A1096" s="331"/>
      <c r="B1096" s="331"/>
      <c r="C1096" s="332"/>
      <c r="D1096" s="331"/>
      <c r="E1096" s="333"/>
      <c r="F1096" s="271"/>
      <c r="G1096" s="931"/>
      <c r="H1096" s="931"/>
      <c r="I1096" s="931"/>
      <c r="J1096" s="931"/>
      <c r="K1096" s="931"/>
      <c r="L1096" s="931"/>
      <c r="M1096" s="931"/>
      <c r="N1096" s="931"/>
      <c r="O1096" s="931"/>
      <c r="P1096" s="931"/>
      <c r="Q1096" s="931"/>
      <c r="R1096" s="931"/>
    </row>
    <row r="1097" spans="1:18" s="328" customFormat="1" ht="13.5" customHeight="1">
      <c r="A1097" s="331"/>
      <c r="B1097" s="331"/>
      <c r="C1097" s="332"/>
      <c r="D1097" s="331"/>
      <c r="E1097" s="333"/>
      <c r="F1097" s="271"/>
      <c r="G1097" s="931"/>
      <c r="H1097" s="931"/>
      <c r="I1097" s="931"/>
      <c r="J1097" s="931"/>
      <c r="K1097" s="931"/>
      <c r="L1097" s="931"/>
      <c r="M1097" s="931"/>
      <c r="N1097" s="931"/>
      <c r="O1097" s="931"/>
      <c r="P1097" s="931"/>
      <c r="Q1097" s="931"/>
      <c r="R1097" s="931"/>
    </row>
    <row r="1098" spans="1:18" s="328" customFormat="1" ht="13.5" customHeight="1">
      <c r="A1098" s="331"/>
      <c r="B1098" s="331"/>
      <c r="C1098" s="332"/>
      <c r="D1098" s="331"/>
      <c r="E1098" s="333"/>
      <c r="F1098" s="271"/>
      <c r="G1098" s="931"/>
      <c r="H1098" s="931"/>
      <c r="I1098" s="931"/>
      <c r="J1098" s="931"/>
      <c r="K1098" s="931"/>
      <c r="L1098" s="931"/>
      <c r="M1098" s="931"/>
      <c r="N1098" s="931"/>
      <c r="O1098" s="931"/>
      <c r="P1098" s="931"/>
      <c r="Q1098" s="931"/>
      <c r="R1098" s="931"/>
    </row>
    <row r="1099" spans="1:18" s="328" customFormat="1" ht="13.5" customHeight="1">
      <c r="A1099" s="331"/>
      <c r="B1099" s="331"/>
      <c r="C1099" s="332"/>
      <c r="D1099" s="331"/>
      <c r="E1099" s="333"/>
      <c r="F1099" s="271"/>
      <c r="G1099" s="931"/>
      <c r="H1099" s="931"/>
      <c r="I1099" s="931"/>
      <c r="J1099" s="931"/>
      <c r="K1099" s="931"/>
      <c r="L1099" s="931"/>
      <c r="M1099" s="931"/>
      <c r="N1099" s="931"/>
      <c r="O1099" s="931"/>
      <c r="P1099" s="931"/>
      <c r="Q1099" s="931"/>
      <c r="R1099" s="931"/>
    </row>
    <row r="1100" spans="1:18" s="328" customFormat="1" ht="13.5" customHeight="1">
      <c r="A1100" s="331"/>
      <c r="B1100" s="331"/>
      <c r="C1100" s="332"/>
      <c r="D1100" s="331"/>
      <c r="E1100" s="333"/>
      <c r="F1100" s="271"/>
      <c r="G1100" s="931"/>
      <c r="H1100" s="931"/>
      <c r="I1100" s="931"/>
      <c r="J1100" s="931"/>
      <c r="K1100" s="931"/>
      <c r="L1100" s="931"/>
      <c r="M1100" s="931"/>
      <c r="N1100" s="931"/>
      <c r="O1100" s="931"/>
      <c r="P1100" s="931"/>
      <c r="Q1100" s="931"/>
      <c r="R1100" s="931"/>
    </row>
    <row r="1101" spans="1:18" s="328" customFormat="1" ht="13.5" customHeight="1">
      <c r="A1101" s="331"/>
      <c r="B1101" s="331"/>
      <c r="C1101" s="332"/>
      <c r="D1101" s="331"/>
      <c r="E1101" s="333"/>
      <c r="F1101" s="271"/>
      <c r="G1101" s="931"/>
      <c r="H1101" s="931"/>
      <c r="I1101" s="931"/>
      <c r="J1101" s="931"/>
      <c r="K1101" s="931"/>
      <c r="L1101" s="931"/>
      <c r="M1101" s="931"/>
      <c r="N1101" s="931"/>
      <c r="O1101" s="931"/>
      <c r="P1101" s="931"/>
      <c r="Q1101" s="931"/>
      <c r="R1101" s="931"/>
    </row>
    <row r="1102" spans="1:18" s="328" customFormat="1" ht="13.5" customHeight="1">
      <c r="A1102" s="331"/>
      <c r="B1102" s="331"/>
      <c r="C1102" s="332"/>
      <c r="D1102" s="331"/>
      <c r="E1102" s="333"/>
      <c r="F1102" s="271"/>
      <c r="G1102" s="931"/>
      <c r="H1102" s="931"/>
      <c r="I1102" s="931"/>
      <c r="J1102" s="931"/>
      <c r="K1102" s="931"/>
      <c r="L1102" s="931"/>
      <c r="M1102" s="931"/>
      <c r="N1102" s="931"/>
      <c r="O1102" s="931"/>
      <c r="P1102" s="931"/>
      <c r="Q1102" s="931"/>
      <c r="R1102" s="931"/>
    </row>
    <row r="1103" spans="1:18" s="328" customFormat="1" ht="13.5" customHeight="1">
      <c r="A1103" s="331"/>
      <c r="B1103" s="331"/>
      <c r="C1103" s="332"/>
      <c r="D1103" s="331"/>
      <c r="E1103" s="333"/>
      <c r="F1103" s="271"/>
      <c r="G1103" s="931"/>
      <c r="H1103" s="931"/>
      <c r="I1103" s="931"/>
      <c r="J1103" s="931"/>
      <c r="K1103" s="931"/>
      <c r="L1103" s="931"/>
      <c r="M1103" s="931"/>
      <c r="N1103" s="931"/>
      <c r="O1103" s="931"/>
      <c r="P1103" s="931"/>
      <c r="Q1103" s="931"/>
      <c r="R1103" s="931"/>
    </row>
    <row r="1104" spans="1:18" s="328" customFormat="1" ht="13.5" customHeight="1">
      <c r="A1104" s="331"/>
      <c r="B1104" s="331"/>
      <c r="C1104" s="332"/>
      <c r="D1104" s="331"/>
      <c r="E1104" s="333"/>
      <c r="F1104" s="271"/>
      <c r="G1104" s="931"/>
      <c r="H1104" s="931"/>
      <c r="I1104" s="931"/>
      <c r="J1104" s="931"/>
      <c r="K1104" s="931"/>
      <c r="L1104" s="931"/>
      <c r="M1104" s="931"/>
      <c r="N1104" s="931"/>
      <c r="O1104" s="931"/>
      <c r="P1104" s="931"/>
      <c r="Q1104" s="931"/>
      <c r="R1104" s="931"/>
    </row>
    <row r="1105" spans="1:18" s="328" customFormat="1" ht="13.5" customHeight="1">
      <c r="A1105" s="331"/>
      <c r="B1105" s="331"/>
      <c r="C1105" s="332"/>
      <c r="D1105" s="331"/>
      <c r="E1105" s="333"/>
      <c r="F1105" s="271"/>
      <c r="G1105" s="931"/>
      <c r="H1105" s="931"/>
      <c r="I1105" s="931"/>
      <c r="J1105" s="931"/>
      <c r="K1105" s="931"/>
      <c r="L1105" s="931"/>
      <c r="M1105" s="931"/>
      <c r="N1105" s="931"/>
      <c r="O1105" s="931"/>
      <c r="P1105" s="931"/>
      <c r="Q1105" s="931"/>
      <c r="R1105" s="931"/>
    </row>
    <row r="1106" spans="1:18" s="328" customFormat="1" ht="13.5" customHeight="1">
      <c r="A1106" s="331"/>
      <c r="B1106" s="331"/>
      <c r="C1106" s="332"/>
      <c r="D1106" s="331"/>
      <c r="E1106" s="333"/>
      <c r="F1106" s="271"/>
      <c r="G1106" s="931"/>
      <c r="H1106" s="931"/>
      <c r="I1106" s="931"/>
      <c r="J1106" s="931"/>
      <c r="K1106" s="931"/>
      <c r="L1106" s="931"/>
      <c r="M1106" s="931"/>
      <c r="N1106" s="931"/>
      <c r="O1106" s="931"/>
      <c r="P1106" s="931"/>
      <c r="Q1106" s="931"/>
      <c r="R1106" s="931"/>
    </row>
    <row r="1107" spans="1:18" s="328" customFormat="1" ht="13.5" customHeight="1">
      <c r="A1107" s="331"/>
      <c r="B1107" s="331"/>
      <c r="C1107" s="332"/>
      <c r="D1107" s="331"/>
      <c r="E1107" s="333"/>
      <c r="F1107" s="271"/>
      <c r="G1107" s="931"/>
      <c r="H1107" s="931"/>
      <c r="I1107" s="931"/>
      <c r="J1107" s="931"/>
      <c r="K1107" s="931"/>
      <c r="L1107" s="931"/>
      <c r="M1107" s="931"/>
      <c r="N1107" s="931"/>
      <c r="O1107" s="931"/>
      <c r="P1107" s="931"/>
      <c r="Q1107" s="931"/>
      <c r="R1107" s="931"/>
    </row>
    <row r="1108" spans="1:18" s="328" customFormat="1" ht="13.5" customHeight="1">
      <c r="A1108" s="331"/>
      <c r="B1108" s="331"/>
      <c r="C1108" s="332"/>
      <c r="D1108" s="331"/>
      <c r="E1108" s="333"/>
      <c r="F1108" s="271"/>
      <c r="G1108" s="931"/>
      <c r="H1108" s="931"/>
      <c r="I1108" s="931"/>
      <c r="J1108" s="931"/>
      <c r="K1108" s="931"/>
      <c r="L1108" s="931"/>
      <c r="M1108" s="931"/>
      <c r="N1108" s="931"/>
      <c r="O1108" s="931"/>
      <c r="P1108" s="931"/>
      <c r="Q1108" s="931"/>
      <c r="R1108" s="931"/>
    </row>
    <row r="1109" spans="1:18" s="328" customFormat="1" ht="13.5" customHeight="1">
      <c r="A1109" s="331"/>
      <c r="B1109" s="331"/>
      <c r="C1109" s="332"/>
      <c r="D1109" s="331"/>
      <c r="E1109" s="333"/>
      <c r="F1109" s="271"/>
      <c r="G1109" s="931"/>
      <c r="H1109" s="931"/>
      <c r="I1109" s="931"/>
      <c r="J1109" s="931"/>
      <c r="K1109" s="931"/>
      <c r="L1109" s="931"/>
      <c r="M1109" s="931"/>
      <c r="N1109" s="931"/>
      <c r="O1109" s="931"/>
      <c r="P1109" s="931"/>
      <c r="Q1109" s="931"/>
      <c r="R1109" s="931"/>
    </row>
    <row r="1110" spans="1:18" s="328" customFormat="1" ht="13.5" customHeight="1">
      <c r="A1110" s="331"/>
      <c r="B1110" s="331"/>
      <c r="C1110" s="332"/>
      <c r="D1110" s="331"/>
      <c r="E1110" s="333"/>
      <c r="F1110" s="271"/>
      <c r="G1110" s="931"/>
      <c r="H1110" s="931"/>
      <c r="I1110" s="931"/>
      <c r="J1110" s="931"/>
      <c r="K1110" s="931"/>
      <c r="L1110" s="931"/>
      <c r="M1110" s="931"/>
      <c r="N1110" s="931"/>
      <c r="O1110" s="931"/>
      <c r="P1110" s="931"/>
      <c r="Q1110" s="931"/>
      <c r="R1110" s="931"/>
    </row>
    <row r="1111" spans="1:18" s="328" customFormat="1" ht="13.5" customHeight="1">
      <c r="A1111" s="331"/>
      <c r="B1111" s="331"/>
      <c r="C1111" s="332"/>
      <c r="D1111" s="331"/>
      <c r="E1111" s="333"/>
      <c r="F1111" s="271"/>
      <c r="G1111" s="931"/>
      <c r="H1111" s="931"/>
      <c r="I1111" s="931"/>
      <c r="J1111" s="931"/>
      <c r="K1111" s="931"/>
      <c r="L1111" s="931"/>
      <c r="M1111" s="931"/>
      <c r="N1111" s="931"/>
      <c r="O1111" s="931"/>
      <c r="P1111" s="931"/>
      <c r="Q1111" s="931"/>
      <c r="R1111" s="931"/>
    </row>
    <row r="1112" spans="1:18" s="328" customFormat="1" ht="13.5" customHeight="1">
      <c r="A1112" s="331"/>
      <c r="B1112" s="331"/>
      <c r="C1112" s="332"/>
      <c r="D1112" s="331"/>
      <c r="E1112" s="333"/>
      <c r="F1112" s="271"/>
      <c r="G1112" s="931"/>
      <c r="H1112" s="931"/>
      <c r="I1112" s="931"/>
      <c r="J1112" s="931"/>
      <c r="K1112" s="931"/>
      <c r="L1112" s="931"/>
      <c r="M1112" s="931"/>
      <c r="N1112" s="931"/>
      <c r="O1112" s="931"/>
      <c r="P1112" s="931"/>
      <c r="Q1112" s="931"/>
      <c r="R1112" s="931"/>
    </row>
    <row r="1113" spans="1:18" s="328" customFormat="1" ht="13.5" customHeight="1">
      <c r="A1113" s="331"/>
      <c r="B1113" s="331"/>
      <c r="C1113" s="332"/>
      <c r="D1113" s="331"/>
      <c r="E1113" s="333"/>
      <c r="F1113" s="271"/>
      <c r="G1113" s="931"/>
      <c r="H1113" s="931"/>
      <c r="I1113" s="931"/>
      <c r="J1113" s="931"/>
      <c r="K1113" s="931"/>
      <c r="L1113" s="931"/>
      <c r="M1113" s="931"/>
      <c r="N1113" s="931"/>
      <c r="O1113" s="931"/>
      <c r="P1113" s="931"/>
      <c r="Q1113" s="931"/>
      <c r="R1113" s="931"/>
    </row>
    <row r="1114" spans="1:18" s="328" customFormat="1" ht="13.5" customHeight="1">
      <c r="A1114" s="331"/>
      <c r="B1114" s="331"/>
      <c r="C1114" s="332"/>
      <c r="D1114" s="331"/>
      <c r="E1114" s="333"/>
      <c r="F1114" s="271"/>
      <c r="G1114" s="931"/>
      <c r="H1114" s="931"/>
      <c r="I1114" s="931"/>
      <c r="J1114" s="931"/>
      <c r="K1114" s="931"/>
      <c r="L1114" s="931"/>
      <c r="M1114" s="931"/>
      <c r="N1114" s="931"/>
      <c r="O1114" s="931"/>
      <c r="P1114" s="931"/>
      <c r="Q1114" s="931"/>
      <c r="R1114" s="931"/>
    </row>
    <row r="1115" spans="1:18" s="328" customFormat="1" ht="13.5" customHeight="1">
      <c r="A1115" s="331"/>
      <c r="B1115" s="331"/>
      <c r="C1115" s="332"/>
      <c r="D1115" s="331"/>
      <c r="E1115" s="333"/>
      <c r="F1115" s="271"/>
      <c r="G1115" s="931"/>
      <c r="H1115" s="931"/>
      <c r="I1115" s="931"/>
      <c r="J1115" s="931"/>
      <c r="K1115" s="931"/>
      <c r="L1115" s="931"/>
      <c r="M1115" s="931"/>
      <c r="N1115" s="931"/>
      <c r="O1115" s="931"/>
      <c r="P1115" s="931"/>
      <c r="Q1115" s="931"/>
      <c r="R1115" s="931"/>
    </row>
    <row r="1116" spans="1:18" s="328" customFormat="1" ht="13.5" customHeight="1">
      <c r="A1116" s="331"/>
      <c r="B1116" s="331"/>
      <c r="C1116" s="332"/>
      <c r="D1116" s="331"/>
      <c r="E1116" s="333"/>
      <c r="F1116" s="271"/>
      <c r="G1116" s="931"/>
      <c r="H1116" s="931"/>
      <c r="I1116" s="931"/>
      <c r="J1116" s="931"/>
      <c r="K1116" s="931"/>
      <c r="L1116" s="931"/>
      <c r="M1116" s="931"/>
      <c r="N1116" s="931"/>
      <c r="O1116" s="931"/>
      <c r="P1116" s="931"/>
      <c r="Q1116" s="931"/>
      <c r="R1116" s="931"/>
    </row>
    <row r="1117" spans="1:18" s="328" customFormat="1" ht="13.5" customHeight="1">
      <c r="A1117" s="331"/>
      <c r="B1117" s="331"/>
      <c r="C1117" s="332"/>
      <c r="D1117" s="331"/>
      <c r="E1117" s="333"/>
      <c r="F1117" s="271"/>
      <c r="G1117" s="931"/>
      <c r="H1117" s="931"/>
      <c r="I1117" s="931"/>
      <c r="J1117" s="931"/>
      <c r="K1117" s="931"/>
      <c r="L1117" s="931"/>
      <c r="M1117" s="931"/>
      <c r="N1117" s="931"/>
      <c r="O1117" s="931"/>
      <c r="P1117" s="931"/>
      <c r="Q1117" s="931"/>
      <c r="R1117" s="931"/>
    </row>
    <row r="1118" spans="1:18" s="328" customFormat="1" ht="13.5" customHeight="1">
      <c r="A1118" s="331"/>
      <c r="B1118" s="331"/>
      <c r="C1118" s="332"/>
      <c r="D1118" s="331"/>
      <c r="E1118" s="333"/>
      <c r="F1118" s="271"/>
      <c r="G1118" s="931"/>
      <c r="H1118" s="931"/>
      <c r="I1118" s="931"/>
      <c r="J1118" s="931"/>
      <c r="K1118" s="931"/>
      <c r="L1118" s="931"/>
      <c r="M1118" s="931"/>
      <c r="N1118" s="931"/>
      <c r="O1118" s="931"/>
      <c r="P1118" s="931"/>
      <c r="Q1118" s="931"/>
      <c r="R1118" s="931"/>
    </row>
    <row r="1119" spans="1:18" s="328" customFormat="1" ht="13.5" customHeight="1">
      <c r="A1119" s="331"/>
      <c r="B1119" s="331"/>
      <c r="C1119" s="332"/>
      <c r="D1119" s="331"/>
      <c r="E1119" s="333"/>
      <c r="F1119" s="271"/>
      <c r="G1119" s="931"/>
      <c r="H1119" s="931"/>
      <c r="I1119" s="931"/>
      <c r="J1119" s="931"/>
      <c r="K1119" s="931"/>
      <c r="L1119" s="931"/>
      <c r="M1119" s="931"/>
      <c r="N1119" s="931"/>
      <c r="O1119" s="931"/>
      <c r="P1119" s="931"/>
      <c r="Q1119" s="931"/>
      <c r="R1119" s="931"/>
    </row>
    <row r="1120" spans="1:18" s="328" customFormat="1" ht="13.5" customHeight="1">
      <c r="A1120" s="331"/>
      <c r="B1120" s="331"/>
      <c r="C1120" s="332"/>
      <c r="D1120" s="331"/>
      <c r="E1120" s="333"/>
      <c r="F1120" s="271"/>
      <c r="G1120" s="931"/>
      <c r="H1120" s="931"/>
      <c r="I1120" s="931"/>
      <c r="J1120" s="931"/>
      <c r="K1120" s="931"/>
      <c r="L1120" s="931"/>
      <c r="M1120" s="931"/>
      <c r="N1120" s="931"/>
      <c r="O1120" s="931"/>
      <c r="P1120" s="931"/>
      <c r="Q1120" s="931"/>
      <c r="R1120" s="931"/>
    </row>
    <row r="1121" spans="1:18" s="328" customFormat="1" ht="13.5" customHeight="1">
      <c r="A1121" s="331"/>
      <c r="B1121" s="331"/>
      <c r="C1121" s="332"/>
      <c r="D1121" s="331"/>
      <c r="E1121" s="333"/>
      <c r="F1121" s="271"/>
      <c r="G1121" s="931"/>
      <c r="H1121" s="931"/>
      <c r="I1121" s="931"/>
      <c r="J1121" s="931"/>
      <c r="K1121" s="931"/>
      <c r="L1121" s="931"/>
      <c r="M1121" s="931"/>
      <c r="N1121" s="931"/>
      <c r="O1121" s="931"/>
      <c r="P1121" s="931"/>
      <c r="Q1121" s="931"/>
      <c r="R1121" s="931"/>
    </row>
    <row r="1122" spans="1:18" s="328" customFormat="1" ht="13.5" customHeight="1">
      <c r="A1122" s="331"/>
      <c r="B1122" s="331"/>
      <c r="C1122" s="332"/>
      <c r="D1122" s="331"/>
      <c r="E1122" s="333"/>
      <c r="F1122" s="271"/>
      <c r="G1122" s="931"/>
      <c r="H1122" s="931"/>
      <c r="I1122" s="931"/>
      <c r="J1122" s="931"/>
      <c r="K1122" s="931"/>
      <c r="L1122" s="931"/>
      <c r="M1122" s="931"/>
      <c r="N1122" s="931"/>
      <c r="O1122" s="931"/>
      <c r="P1122" s="931"/>
      <c r="Q1122" s="931"/>
      <c r="R1122" s="931"/>
    </row>
    <row r="1123" spans="1:18" s="328" customFormat="1" ht="13.5" customHeight="1">
      <c r="A1123" s="331"/>
      <c r="B1123" s="331"/>
      <c r="C1123" s="332"/>
      <c r="D1123" s="331"/>
      <c r="E1123" s="333"/>
      <c r="F1123" s="271"/>
      <c r="G1123" s="931"/>
      <c r="H1123" s="931"/>
      <c r="I1123" s="931"/>
      <c r="J1123" s="931"/>
      <c r="K1123" s="931"/>
      <c r="L1123" s="931"/>
      <c r="M1123" s="931"/>
      <c r="N1123" s="931"/>
      <c r="O1123" s="931"/>
      <c r="P1123" s="931"/>
      <c r="Q1123" s="931"/>
      <c r="R1123" s="931"/>
    </row>
    <row r="1124" spans="1:18" s="328" customFormat="1" ht="13.5" customHeight="1">
      <c r="A1124" s="331"/>
      <c r="B1124" s="331"/>
      <c r="C1124" s="332"/>
      <c r="D1124" s="331"/>
      <c r="E1124" s="333"/>
      <c r="F1124" s="271"/>
      <c r="G1124" s="931"/>
      <c r="H1124" s="931"/>
      <c r="I1124" s="931"/>
      <c r="J1124" s="931"/>
      <c r="K1124" s="931"/>
      <c r="L1124" s="931"/>
      <c r="M1124" s="931"/>
      <c r="N1124" s="931"/>
      <c r="O1124" s="931"/>
      <c r="P1124" s="931"/>
      <c r="Q1124" s="931"/>
      <c r="R1124" s="931"/>
    </row>
    <row r="1125" spans="1:18" s="328" customFormat="1" ht="13.5" customHeight="1">
      <c r="A1125" s="331"/>
      <c r="B1125" s="331"/>
      <c r="C1125" s="332"/>
      <c r="D1125" s="331"/>
      <c r="E1125" s="333"/>
      <c r="F1125" s="271"/>
      <c r="G1125" s="931"/>
      <c r="H1125" s="931"/>
      <c r="I1125" s="931"/>
      <c r="J1125" s="931"/>
      <c r="K1125" s="931"/>
      <c r="L1125" s="931"/>
      <c r="M1125" s="931"/>
      <c r="N1125" s="931"/>
      <c r="O1125" s="931"/>
      <c r="P1125" s="931"/>
      <c r="Q1125" s="931"/>
      <c r="R1125" s="931"/>
    </row>
    <row r="1126" spans="1:18" s="328" customFormat="1" ht="13.5" customHeight="1">
      <c r="A1126" s="331"/>
      <c r="B1126" s="331"/>
      <c r="C1126" s="332"/>
      <c r="D1126" s="331"/>
      <c r="E1126" s="333"/>
      <c r="F1126" s="271"/>
      <c r="G1126" s="931"/>
      <c r="H1126" s="931"/>
      <c r="I1126" s="931"/>
      <c r="J1126" s="931"/>
      <c r="K1126" s="931"/>
      <c r="L1126" s="931"/>
      <c r="M1126" s="931"/>
      <c r="N1126" s="931"/>
      <c r="O1126" s="931"/>
      <c r="P1126" s="931"/>
      <c r="Q1126" s="931"/>
      <c r="R1126" s="931"/>
    </row>
    <row r="1127" spans="1:18" s="328" customFormat="1" ht="13.5" customHeight="1">
      <c r="A1127" s="331"/>
      <c r="B1127" s="331"/>
      <c r="C1127" s="332"/>
      <c r="D1127" s="331"/>
      <c r="E1127" s="333"/>
      <c r="F1127" s="271"/>
      <c r="G1127" s="931"/>
      <c r="H1127" s="931"/>
      <c r="I1127" s="931"/>
      <c r="J1127" s="931"/>
      <c r="K1127" s="931"/>
      <c r="L1127" s="931"/>
      <c r="M1127" s="931"/>
      <c r="N1127" s="931"/>
      <c r="O1127" s="931"/>
      <c r="P1127" s="931"/>
      <c r="Q1127" s="931"/>
      <c r="R1127" s="931"/>
    </row>
    <row r="1128" spans="1:18" s="328" customFormat="1" ht="13.5" customHeight="1">
      <c r="A1128" s="331"/>
      <c r="B1128" s="331"/>
      <c r="C1128" s="332"/>
      <c r="D1128" s="331"/>
      <c r="E1128" s="333"/>
      <c r="F1128" s="271"/>
      <c r="G1128" s="931"/>
      <c r="H1128" s="931"/>
      <c r="I1128" s="931"/>
      <c r="J1128" s="931"/>
      <c r="K1128" s="931"/>
      <c r="L1128" s="931"/>
      <c r="M1128" s="931"/>
      <c r="N1128" s="931"/>
      <c r="O1128" s="931"/>
      <c r="P1128" s="931"/>
      <c r="Q1128" s="931"/>
      <c r="R1128" s="931"/>
    </row>
    <row r="1129" spans="1:18" s="328" customFormat="1" ht="13.5" customHeight="1">
      <c r="A1129" s="331"/>
      <c r="B1129" s="331"/>
      <c r="C1129" s="332"/>
      <c r="D1129" s="331"/>
      <c r="E1129" s="333"/>
      <c r="F1129" s="271"/>
      <c r="G1129" s="931"/>
      <c r="H1129" s="931"/>
      <c r="I1129" s="931"/>
      <c r="J1129" s="931"/>
      <c r="K1129" s="931"/>
      <c r="L1129" s="931"/>
      <c r="M1129" s="931"/>
      <c r="N1129" s="931"/>
      <c r="O1129" s="931"/>
      <c r="P1129" s="931"/>
      <c r="Q1129" s="931"/>
      <c r="R1129" s="931"/>
    </row>
    <row r="1130" spans="1:18" s="328" customFormat="1" ht="13.5" customHeight="1">
      <c r="A1130" s="331"/>
      <c r="B1130" s="331"/>
      <c r="C1130" s="332"/>
      <c r="D1130" s="331"/>
      <c r="E1130" s="333"/>
      <c r="F1130" s="271"/>
      <c r="G1130" s="931"/>
      <c r="H1130" s="931"/>
      <c r="I1130" s="931"/>
      <c r="J1130" s="931"/>
      <c r="K1130" s="931"/>
      <c r="L1130" s="931"/>
      <c r="M1130" s="931"/>
      <c r="N1130" s="931"/>
      <c r="O1130" s="931"/>
      <c r="P1130" s="931"/>
      <c r="Q1130" s="931"/>
      <c r="R1130" s="931"/>
    </row>
    <row r="1131" spans="1:18" s="328" customFormat="1" ht="13.5" customHeight="1">
      <c r="A1131" s="331"/>
      <c r="B1131" s="331"/>
      <c r="C1131" s="332"/>
      <c r="D1131" s="331"/>
      <c r="E1131" s="333"/>
      <c r="F1131" s="271"/>
      <c r="G1131" s="931"/>
      <c r="H1131" s="931"/>
      <c r="I1131" s="931"/>
      <c r="J1131" s="931"/>
      <c r="K1131" s="931"/>
      <c r="L1131" s="931"/>
      <c r="M1131" s="931"/>
      <c r="N1131" s="931"/>
      <c r="O1131" s="931"/>
      <c r="P1131" s="931"/>
      <c r="Q1131" s="931"/>
      <c r="R1131" s="931"/>
    </row>
    <row r="1132" spans="1:18" s="328" customFormat="1" ht="13.5" customHeight="1">
      <c r="A1132" s="331"/>
      <c r="B1132" s="331"/>
      <c r="C1132" s="332"/>
      <c r="D1132" s="331"/>
      <c r="E1132" s="333"/>
      <c r="F1132" s="271"/>
      <c r="G1132" s="931"/>
      <c r="H1132" s="931"/>
      <c r="I1132" s="931"/>
      <c r="J1132" s="931"/>
      <c r="K1132" s="931"/>
      <c r="L1132" s="931"/>
      <c r="M1132" s="931"/>
      <c r="N1132" s="931"/>
      <c r="O1132" s="931"/>
      <c r="P1132" s="931"/>
      <c r="Q1132" s="931"/>
      <c r="R1132" s="931"/>
    </row>
    <row r="1133" spans="1:18" s="328" customFormat="1" ht="13.5" customHeight="1">
      <c r="A1133" s="331"/>
      <c r="B1133" s="331"/>
      <c r="C1133" s="332"/>
      <c r="D1133" s="331"/>
      <c r="E1133" s="333"/>
      <c r="F1133" s="271"/>
      <c r="G1133" s="931"/>
      <c r="H1133" s="931"/>
      <c r="I1133" s="931"/>
      <c r="J1133" s="931"/>
      <c r="K1133" s="931"/>
      <c r="L1133" s="931"/>
      <c r="M1133" s="931"/>
      <c r="N1133" s="931"/>
      <c r="O1133" s="931"/>
      <c r="P1133" s="931"/>
      <c r="Q1133" s="931"/>
      <c r="R1133" s="931"/>
    </row>
    <row r="1134" spans="1:18" s="328" customFormat="1" ht="13.5" customHeight="1">
      <c r="A1134" s="331"/>
      <c r="B1134" s="331"/>
      <c r="C1134" s="332"/>
      <c r="D1134" s="331"/>
      <c r="E1134" s="333"/>
      <c r="F1134" s="271"/>
      <c r="G1134" s="931"/>
      <c r="H1134" s="931"/>
      <c r="I1134" s="931"/>
      <c r="J1134" s="931"/>
      <c r="K1134" s="931"/>
      <c r="L1134" s="931"/>
      <c r="M1134" s="931"/>
      <c r="N1134" s="931"/>
      <c r="O1134" s="931"/>
      <c r="P1134" s="931"/>
      <c r="Q1134" s="931"/>
      <c r="R1134" s="931"/>
    </row>
    <row r="1135" spans="1:18" s="328" customFormat="1" ht="13.5" customHeight="1">
      <c r="A1135" s="331"/>
      <c r="B1135" s="331"/>
      <c r="C1135" s="332"/>
      <c r="D1135" s="331"/>
      <c r="E1135" s="333"/>
      <c r="F1135" s="271"/>
      <c r="G1135" s="931"/>
      <c r="H1135" s="931"/>
      <c r="I1135" s="931"/>
      <c r="J1135" s="931"/>
      <c r="K1135" s="931"/>
      <c r="L1135" s="931"/>
      <c r="M1135" s="931"/>
      <c r="N1135" s="931"/>
      <c r="O1135" s="931"/>
      <c r="P1135" s="931"/>
      <c r="Q1135" s="931"/>
      <c r="R1135" s="931"/>
    </row>
    <row r="1136" spans="1:18" s="328" customFormat="1" ht="13.5" customHeight="1">
      <c r="A1136" s="331"/>
      <c r="B1136" s="331"/>
      <c r="C1136" s="332"/>
      <c r="D1136" s="331"/>
      <c r="E1136" s="333"/>
      <c r="F1136" s="271"/>
      <c r="G1136" s="931"/>
      <c r="H1136" s="931"/>
      <c r="I1136" s="931"/>
      <c r="J1136" s="931"/>
      <c r="K1136" s="931"/>
      <c r="L1136" s="931"/>
      <c r="M1136" s="931"/>
      <c r="N1136" s="931"/>
      <c r="O1136" s="931"/>
      <c r="P1136" s="931"/>
      <c r="Q1136" s="931"/>
      <c r="R1136" s="931"/>
    </row>
    <row r="1137" spans="1:18" s="328" customFormat="1" ht="13.5" customHeight="1">
      <c r="A1137" s="331"/>
      <c r="B1137" s="331"/>
      <c r="C1137" s="332"/>
      <c r="D1137" s="331"/>
      <c r="E1137" s="333"/>
      <c r="F1137" s="271"/>
      <c r="G1137" s="931"/>
      <c r="H1137" s="931"/>
      <c r="I1137" s="931"/>
      <c r="J1137" s="931"/>
      <c r="K1137" s="931"/>
      <c r="L1137" s="931"/>
      <c r="M1137" s="931"/>
      <c r="N1137" s="931"/>
      <c r="O1137" s="931"/>
      <c r="P1137" s="931"/>
      <c r="Q1137" s="931"/>
      <c r="R1137" s="931"/>
    </row>
    <row r="1138" spans="1:18" s="328" customFormat="1" ht="13.5" customHeight="1">
      <c r="A1138" s="331"/>
      <c r="B1138" s="331"/>
      <c r="C1138" s="332"/>
      <c r="D1138" s="331"/>
      <c r="E1138" s="333"/>
      <c r="F1138" s="271"/>
      <c r="G1138" s="931"/>
      <c r="H1138" s="931"/>
      <c r="I1138" s="931"/>
      <c r="J1138" s="931"/>
      <c r="K1138" s="931"/>
      <c r="L1138" s="931"/>
      <c r="M1138" s="931"/>
      <c r="N1138" s="931"/>
      <c r="O1138" s="931"/>
      <c r="P1138" s="931"/>
      <c r="Q1138" s="931"/>
      <c r="R1138" s="931"/>
    </row>
    <row r="1139" spans="1:18" s="328" customFormat="1" ht="13.5" customHeight="1">
      <c r="A1139" s="331"/>
      <c r="B1139" s="331"/>
      <c r="C1139" s="332"/>
      <c r="D1139" s="331"/>
      <c r="E1139" s="333"/>
      <c r="F1139" s="271"/>
      <c r="G1139" s="931"/>
      <c r="H1139" s="931"/>
      <c r="I1139" s="931"/>
      <c r="J1139" s="931"/>
      <c r="K1139" s="931"/>
      <c r="L1139" s="931"/>
      <c r="M1139" s="931"/>
      <c r="N1139" s="931"/>
      <c r="O1139" s="931"/>
      <c r="P1139" s="931"/>
      <c r="Q1139" s="931"/>
      <c r="R1139" s="931"/>
    </row>
    <row r="1140" spans="1:18" s="328" customFormat="1" ht="13.5" customHeight="1">
      <c r="A1140" s="331"/>
      <c r="B1140" s="331"/>
      <c r="C1140" s="332"/>
      <c r="D1140" s="331"/>
      <c r="E1140" s="333"/>
      <c r="F1140" s="271"/>
      <c r="G1140" s="931"/>
      <c r="H1140" s="931"/>
      <c r="I1140" s="931"/>
      <c r="J1140" s="931"/>
      <c r="K1140" s="931"/>
      <c r="L1140" s="931"/>
      <c r="M1140" s="931"/>
      <c r="N1140" s="931"/>
      <c r="O1140" s="931"/>
      <c r="P1140" s="931"/>
      <c r="Q1140" s="931"/>
      <c r="R1140" s="931"/>
    </row>
    <row r="1141" spans="1:18" s="328" customFormat="1" ht="13.5" customHeight="1">
      <c r="A1141" s="331"/>
      <c r="B1141" s="331"/>
      <c r="C1141" s="332"/>
      <c r="D1141" s="331"/>
      <c r="E1141" s="333"/>
      <c r="F1141" s="271"/>
      <c r="G1141" s="931"/>
      <c r="H1141" s="931"/>
      <c r="I1141" s="931"/>
      <c r="J1141" s="931"/>
      <c r="K1141" s="931"/>
      <c r="L1141" s="931"/>
      <c r="M1141" s="931"/>
      <c r="N1141" s="931"/>
      <c r="O1141" s="931"/>
      <c r="P1141" s="931"/>
      <c r="Q1141" s="931"/>
      <c r="R1141" s="931"/>
    </row>
    <row r="1142" spans="1:18" s="328" customFormat="1" ht="13.5" customHeight="1">
      <c r="A1142" s="331"/>
      <c r="B1142" s="331"/>
      <c r="C1142" s="332"/>
      <c r="D1142" s="331"/>
      <c r="E1142" s="333"/>
      <c r="F1142" s="271"/>
      <c r="G1142" s="931"/>
      <c r="H1142" s="931"/>
      <c r="I1142" s="931"/>
      <c r="J1142" s="931"/>
      <c r="K1142" s="931"/>
      <c r="L1142" s="931"/>
      <c r="M1142" s="931"/>
      <c r="N1142" s="931"/>
      <c r="O1142" s="931"/>
      <c r="P1142" s="931"/>
      <c r="Q1142" s="931"/>
      <c r="R1142" s="931"/>
    </row>
    <row r="1143" spans="1:18" s="328" customFormat="1" ht="13.5" customHeight="1">
      <c r="A1143" s="331"/>
      <c r="B1143" s="331"/>
      <c r="C1143" s="332"/>
      <c r="D1143" s="331"/>
      <c r="E1143" s="333"/>
      <c r="F1143" s="271"/>
      <c r="G1143" s="931"/>
      <c r="H1143" s="931"/>
      <c r="I1143" s="931"/>
      <c r="J1143" s="931"/>
      <c r="K1143" s="931"/>
      <c r="L1143" s="931"/>
      <c r="M1143" s="931"/>
      <c r="N1143" s="931"/>
      <c r="O1143" s="931"/>
      <c r="P1143" s="931"/>
      <c r="Q1143" s="931"/>
      <c r="R1143" s="931"/>
    </row>
    <row r="1144" spans="1:18" s="328" customFormat="1" ht="13.5" customHeight="1">
      <c r="A1144" s="331"/>
      <c r="B1144" s="331"/>
      <c r="C1144" s="332"/>
      <c r="D1144" s="331"/>
      <c r="E1144" s="333"/>
      <c r="F1144" s="271"/>
      <c r="G1144" s="931"/>
      <c r="H1144" s="931"/>
      <c r="I1144" s="931"/>
      <c r="J1144" s="931"/>
      <c r="K1144" s="931"/>
      <c r="L1144" s="931"/>
      <c r="M1144" s="931"/>
      <c r="N1144" s="931"/>
      <c r="O1144" s="931"/>
      <c r="P1144" s="931"/>
      <c r="Q1144" s="931"/>
      <c r="R1144" s="931"/>
    </row>
    <row r="1145" spans="1:18" s="328" customFormat="1" ht="13.5" customHeight="1">
      <c r="A1145" s="331"/>
      <c r="B1145" s="331"/>
      <c r="C1145" s="332"/>
      <c r="D1145" s="331"/>
      <c r="E1145" s="333"/>
      <c r="F1145" s="271"/>
      <c r="G1145" s="931"/>
      <c r="H1145" s="931"/>
      <c r="I1145" s="931"/>
      <c r="J1145" s="931"/>
      <c r="K1145" s="931"/>
      <c r="L1145" s="931"/>
      <c r="M1145" s="931"/>
      <c r="N1145" s="931"/>
      <c r="O1145" s="931"/>
      <c r="P1145" s="931"/>
      <c r="Q1145" s="931"/>
      <c r="R1145" s="931"/>
    </row>
    <row r="1146" spans="1:18" s="328" customFormat="1" ht="13.5" customHeight="1">
      <c r="A1146" s="331"/>
      <c r="B1146" s="331"/>
      <c r="C1146" s="332"/>
      <c r="D1146" s="331"/>
      <c r="E1146" s="333"/>
      <c r="F1146" s="271"/>
      <c r="G1146" s="931"/>
      <c r="H1146" s="931"/>
      <c r="I1146" s="931"/>
      <c r="J1146" s="931"/>
      <c r="K1146" s="931"/>
      <c r="L1146" s="931"/>
      <c r="M1146" s="931"/>
      <c r="N1146" s="931"/>
      <c r="O1146" s="931"/>
      <c r="P1146" s="931"/>
      <c r="Q1146" s="931"/>
      <c r="R1146" s="931"/>
    </row>
    <row r="1147" spans="1:18" s="328" customFormat="1" ht="13.5" customHeight="1">
      <c r="A1147" s="331"/>
      <c r="B1147" s="331"/>
      <c r="C1147" s="332"/>
      <c r="D1147" s="331"/>
      <c r="E1147" s="333"/>
      <c r="F1147" s="271"/>
      <c r="G1147" s="931"/>
      <c r="H1147" s="931"/>
      <c r="I1147" s="931"/>
      <c r="J1147" s="931"/>
      <c r="K1147" s="931"/>
      <c r="L1147" s="931"/>
      <c r="M1147" s="931"/>
      <c r="N1147" s="931"/>
      <c r="O1147" s="931"/>
      <c r="P1147" s="931"/>
      <c r="Q1147" s="931"/>
      <c r="R1147" s="931"/>
    </row>
    <row r="1148" spans="1:18" s="328" customFormat="1" ht="13.5" customHeight="1">
      <c r="A1148" s="331"/>
      <c r="B1148" s="331"/>
      <c r="C1148" s="332"/>
      <c r="D1148" s="331"/>
      <c r="E1148" s="333"/>
      <c r="F1148" s="271"/>
      <c r="G1148" s="931"/>
      <c r="H1148" s="931"/>
      <c r="I1148" s="931"/>
      <c r="J1148" s="931"/>
      <c r="K1148" s="931"/>
      <c r="L1148" s="931"/>
      <c r="M1148" s="931"/>
      <c r="N1148" s="931"/>
      <c r="O1148" s="931"/>
      <c r="P1148" s="931"/>
      <c r="Q1148" s="931"/>
      <c r="R1148" s="931"/>
    </row>
    <row r="1149" spans="1:18" s="328" customFormat="1" ht="13.5" customHeight="1">
      <c r="A1149" s="331"/>
      <c r="B1149" s="331"/>
      <c r="C1149" s="332"/>
      <c r="D1149" s="331"/>
      <c r="E1149" s="333"/>
      <c r="F1149" s="271"/>
      <c r="G1149" s="931"/>
      <c r="H1149" s="931"/>
      <c r="I1149" s="931"/>
      <c r="J1149" s="931"/>
      <c r="K1149" s="931"/>
      <c r="L1149" s="931"/>
      <c r="M1149" s="931"/>
      <c r="N1149" s="931"/>
      <c r="O1149" s="931"/>
      <c r="P1149" s="931"/>
      <c r="Q1149" s="931"/>
      <c r="R1149" s="931"/>
    </row>
    <row r="1150" spans="1:18" s="328" customFormat="1" ht="13.5" customHeight="1">
      <c r="A1150" s="331"/>
      <c r="B1150" s="331"/>
      <c r="C1150" s="332"/>
      <c r="D1150" s="331"/>
      <c r="E1150" s="333"/>
      <c r="F1150" s="271"/>
      <c r="G1150" s="931"/>
      <c r="H1150" s="931"/>
      <c r="I1150" s="931"/>
      <c r="J1150" s="931"/>
      <c r="K1150" s="931"/>
      <c r="L1150" s="931"/>
      <c r="M1150" s="931"/>
      <c r="N1150" s="931"/>
      <c r="O1150" s="931"/>
      <c r="P1150" s="931"/>
      <c r="Q1150" s="931"/>
      <c r="R1150" s="931"/>
    </row>
    <row r="1151" spans="1:18" s="328" customFormat="1" ht="13.5" customHeight="1">
      <c r="A1151" s="331"/>
      <c r="B1151" s="331"/>
      <c r="C1151" s="332"/>
      <c r="D1151" s="331"/>
      <c r="E1151" s="333"/>
      <c r="F1151" s="271"/>
      <c r="G1151" s="931"/>
      <c r="H1151" s="931"/>
      <c r="I1151" s="931"/>
      <c r="J1151" s="931"/>
      <c r="K1151" s="931"/>
      <c r="L1151" s="931"/>
      <c r="M1151" s="931"/>
      <c r="N1151" s="931"/>
      <c r="O1151" s="931"/>
      <c r="P1151" s="931"/>
      <c r="Q1151" s="931"/>
      <c r="R1151" s="931"/>
    </row>
    <row r="1152" spans="1:18" s="328" customFormat="1" ht="13.5" customHeight="1">
      <c r="A1152" s="331"/>
      <c r="B1152" s="331"/>
      <c r="C1152" s="332"/>
      <c r="D1152" s="331"/>
      <c r="E1152" s="333"/>
      <c r="F1152" s="271"/>
      <c r="G1152" s="931"/>
      <c r="H1152" s="931"/>
      <c r="I1152" s="931"/>
      <c r="J1152" s="931"/>
      <c r="K1152" s="931"/>
      <c r="L1152" s="931"/>
      <c r="M1152" s="931"/>
      <c r="N1152" s="931"/>
      <c r="O1152" s="931"/>
      <c r="P1152" s="931"/>
      <c r="Q1152" s="931"/>
      <c r="R1152" s="931"/>
    </row>
    <row r="1153" spans="1:18" s="328" customFormat="1" ht="13.5" customHeight="1">
      <c r="A1153" s="331"/>
      <c r="B1153" s="331"/>
      <c r="C1153" s="332"/>
      <c r="D1153" s="331"/>
      <c r="E1153" s="333"/>
      <c r="F1153" s="271"/>
      <c r="G1153" s="931"/>
      <c r="H1153" s="931"/>
      <c r="I1153" s="931"/>
      <c r="J1153" s="931"/>
      <c r="K1153" s="931"/>
      <c r="L1153" s="931"/>
      <c r="M1153" s="931"/>
      <c r="N1153" s="931"/>
      <c r="O1153" s="931"/>
      <c r="P1153" s="931"/>
      <c r="Q1153" s="931"/>
      <c r="R1153" s="931"/>
    </row>
    <row r="1154" spans="1:18" s="328" customFormat="1" ht="13.5" customHeight="1">
      <c r="A1154" s="331"/>
      <c r="B1154" s="331"/>
      <c r="C1154" s="332"/>
      <c r="D1154" s="331"/>
      <c r="E1154" s="333"/>
      <c r="F1154" s="271"/>
      <c r="G1154" s="931"/>
      <c r="H1154" s="931"/>
      <c r="I1154" s="931"/>
      <c r="J1154" s="931"/>
      <c r="K1154" s="931"/>
      <c r="L1154" s="931"/>
      <c r="M1154" s="931"/>
      <c r="N1154" s="931"/>
      <c r="O1154" s="931"/>
      <c r="P1154" s="931"/>
      <c r="Q1154" s="931"/>
      <c r="R1154" s="931"/>
    </row>
    <row r="1155" spans="1:18" s="328" customFormat="1" ht="13.5" customHeight="1">
      <c r="A1155" s="331"/>
      <c r="B1155" s="331"/>
      <c r="C1155" s="332"/>
      <c r="D1155" s="331"/>
      <c r="E1155" s="333"/>
      <c r="F1155" s="271"/>
      <c r="G1155" s="931"/>
      <c r="H1155" s="931"/>
      <c r="I1155" s="931"/>
      <c r="J1155" s="931"/>
      <c r="K1155" s="931"/>
      <c r="L1155" s="931"/>
      <c r="M1155" s="931"/>
      <c r="N1155" s="931"/>
      <c r="O1155" s="931"/>
      <c r="P1155" s="931"/>
      <c r="Q1155" s="931"/>
      <c r="R1155" s="931"/>
    </row>
    <row r="1156" spans="1:18" s="328" customFormat="1" ht="13.5" customHeight="1">
      <c r="A1156" s="331"/>
      <c r="B1156" s="331"/>
      <c r="C1156" s="332"/>
      <c r="D1156" s="331"/>
      <c r="E1156" s="333"/>
      <c r="F1156" s="271"/>
      <c r="G1156" s="931"/>
      <c r="H1156" s="931"/>
      <c r="I1156" s="931"/>
      <c r="J1156" s="931"/>
      <c r="K1156" s="931"/>
      <c r="L1156" s="931"/>
      <c r="M1156" s="931"/>
      <c r="N1156" s="931"/>
      <c r="O1156" s="931"/>
      <c r="P1156" s="931"/>
      <c r="Q1156" s="931"/>
      <c r="R1156" s="931"/>
    </row>
    <row r="1157" spans="1:18" s="328" customFormat="1" ht="13.5" customHeight="1">
      <c r="A1157" s="331"/>
      <c r="B1157" s="331"/>
      <c r="C1157" s="332"/>
      <c r="D1157" s="331"/>
      <c r="E1157" s="333"/>
      <c r="F1157" s="271"/>
      <c r="G1157" s="931"/>
      <c r="H1157" s="931"/>
      <c r="I1157" s="931"/>
      <c r="J1157" s="931"/>
      <c r="K1157" s="931"/>
      <c r="L1157" s="931"/>
      <c r="M1157" s="931"/>
      <c r="N1157" s="931"/>
      <c r="O1157" s="931"/>
      <c r="P1157" s="931"/>
      <c r="Q1157" s="931"/>
      <c r="R1157" s="931"/>
    </row>
    <row r="1158" spans="1:18" s="328" customFormat="1" ht="13.5" customHeight="1">
      <c r="A1158" s="331"/>
      <c r="B1158" s="331"/>
      <c r="C1158" s="332"/>
      <c r="D1158" s="331"/>
      <c r="E1158" s="333"/>
      <c r="F1158" s="271"/>
      <c r="G1158" s="931"/>
      <c r="H1158" s="931"/>
      <c r="I1158" s="931"/>
      <c r="J1158" s="931"/>
      <c r="K1158" s="931"/>
      <c r="L1158" s="931"/>
      <c r="M1158" s="931"/>
      <c r="N1158" s="931"/>
      <c r="O1158" s="931"/>
      <c r="P1158" s="931"/>
      <c r="Q1158" s="931"/>
      <c r="R1158" s="931"/>
    </row>
    <row r="1159" spans="1:18" s="328" customFormat="1" ht="13.5" customHeight="1">
      <c r="A1159" s="331"/>
      <c r="B1159" s="331"/>
      <c r="C1159" s="332"/>
      <c r="D1159" s="331"/>
      <c r="E1159" s="333"/>
      <c r="F1159" s="271"/>
      <c r="G1159" s="931"/>
      <c r="H1159" s="931"/>
      <c r="I1159" s="931"/>
      <c r="J1159" s="931"/>
      <c r="K1159" s="931"/>
      <c r="L1159" s="931"/>
      <c r="M1159" s="931"/>
      <c r="N1159" s="931"/>
      <c r="O1159" s="931"/>
      <c r="P1159" s="931"/>
      <c r="Q1159" s="931"/>
      <c r="R1159" s="931"/>
    </row>
    <row r="1160" spans="1:18" s="328" customFormat="1" ht="13.5" customHeight="1">
      <c r="A1160" s="331"/>
      <c r="B1160" s="331"/>
      <c r="C1160" s="332"/>
      <c r="D1160" s="331"/>
      <c r="E1160" s="333"/>
      <c r="F1160" s="271"/>
      <c r="G1160" s="931"/>
      <c r="H1160" s="931"/>
      <c r="I1160" s="931"/>
      <c r="J1160" s="931"/>
      <c r="K1160" s="931"/>
      <c r="L1160" s="931"/>
      <c r="M1160" s="931"/>
      <c r="N1160" s="931"/>
      <c r="O1160" s="931"/>
      <c r="P1160" s="931"/>
      <c r="Q1160" s="931"/>
      <c r="R1160" s="931"/>
    </row>
    <row r="1161" spans="1:18" s="328" customFormat="1" ht="13.5" customHeight="1">
      <c r="A1161" s="331"/>
      <c r="B1161" s="331"/>
      <c r="C1161" s="332"/>
      <c r="D1161" s="331"/>
      <c r="E1161" s="333"/>
      <c r="F1161" s="271"/>
      <c r="G1161" s="931"/>
      <c r="H1161" s="931"/>
      <c r="I1161" s="931"/>
      <c r="J1161" s="931"/>
      <c r="K1161" s="931"/>
      <c r="L1161" s="931"/>
      <c r="M1161" s="931"/>
      <c r="N1161" s="931"/>
      <c r="O1161" s="931"/>
      <c r="P1161" s="931"/>
      <c r="Q1161" s="931"/>
      <c r="R1161" s="931"/>
    </row>
    <row r="1162" spans="1:18" s="328" customFormat="1" ht="13.5" customHeight="1">
      <c r="A1162" s="331"/>
      <c r="B1162" s="331"/>
      <c r="C1162" s="332"/>
      <c r="D1162" s="331"/>
      <c r="E1162" s="333"/>
      <c r="F1162" s="271"/>
      <c r="G1162" s="931"/>
      <c r="H1162" s="931"/>
      <c r="I1162" s="931"/>
      <c r="J1162" s="931"/>
      <c r="K1162" s="931"/>
      <c r="L1162" s="931"/>
      <c r="M1162" s="931"/>
      <c r="N1162" s="931"/>
      <c r="O1162" s="931"/>
      <c r="P1162" s="931"/>
      <c r="Q1162" s="931"/>
      <c r="R1162" s="931"/>
    </row>
    <row r="1163" spans="1:18" s="328" customFormat="1" ht="13.5" customHeight="1">
      <c r="A1163" s="331"/>
      <c r="B1163" s="331"/>
      <c r="C1163" s="332"/>
      <c r="D1163" s="331"/>
      <c r="E1163" s="333"/>
      <c r="F1163" s="271"/>
      <c r="G1163" s="931"/>
      <c r="H1163" s="931"/>
      <c r="I1163" s="931"/>
      <c r="J1163" s="931"/>
      <c r="K1163" s="931"/>
      <c r="L1163" s="931"/>
      <c r="M1163" s="931"/>
      <c r="N1163" s="931"/>
      <c r="O1163" s="931"/>
      <c r="P1163" s="931"/>
      <c r="Q1163" s="931"/>
      <c r="R1163" s="931"/>
    </row>
    <row r="1164" spans="1:18" s="328" customFormat="1" ht="13.5" customHeight="1">
      <c r="A1164" s="331"/>
      <c r="B1164" s="331"/>
      <c r="C1164" s="332"/>
      <c r="D1164" s="331"/>
      <c r="E1164" s="333"/>
      <c r="F1164" s="271"/>
      <c r="G1164" s="931"/>
      <c r="H1164" s="931"/>
      <c r="I1164" s="931"/>
      <c r="J1164" s="931"/>
      <c r="K1164" s="931"/>
      <c r="L1164" s="931"/>
      <c r="M1164" s="931"/>
      <c r="N1164" s="931"/>
      <c r="O1164" s="931"/>
      <c r="P1164" s="931"/>
      <c r="Q1164" s="931"/>
      <c r="R1164" s="931"/>
    </row>
    <row r="1165" spans="1:18" s="328" customFormat="1" ht="13.5" customHeight="1">
      <c r="A1165" s="331"/>
      <c r="B1165" s="331"/>
      <c r="C1165" s="332"/>
      <c r="D1165" s="331"/>
      <c r="E1165" s="333"/>
      <c r="F1165" s="271"/>
      <c r="G1165" s="931"/>
      <c r="H1165" s="931"/>
      <c r="I1165" s="931"/>
      <c r="J1165" s="931"/>
      <c r="K1165" s="931"/>
      <c r="L1165" s="931"/>
      <c r="M1165" s="931"/>
      <c r="N1165" s="931"/>
      <c r="O1165" s="931"/>
      <c r="P1165" s="931"/>
      <c r="Q1165" s="931"/>
      <c r="R1165" s="931"/>
    </row>
    <row r="1166" spans="1:18" s="328" customFormat="1" ht="13.5" customHeight="1">
      <c r="A1166" s="331"/>
      <c r="B1166" s="331"/>
      <c r="C1166" s="332"/>
      <c r="D1166" s="331"/>
      <c r="E1166" s="333"/>
      <c r="F1166" s="271"/>
      <c r="G1166" s="931"/>
      <c r="H1166" s="931"/>
      <c r="I1166" s="931"/>
      <c r="J1166" s="931"/>
      <c r="K1166" s="931"/>
      <c r="L1166" s="931"/>
      <c r="M1166" s="931"/>
      <c r="N1166" s="931"/>
      <c r="O1166" s="931"/>
      <c r="P1166" s="931"/>
      <c r="Q1166" s="931"/>
      <c r="R1166" s="931"/>
    </row>
    <row r="1167" spans="1:18" s="328" customFormat="1" ht="13.5" customHeight="1">
      <c r="A1167" s="331"/>
      <c r="B1167" s="331"/>
      <c r="C1167" s="332"/>
      <c r="D1167" s="331"/>
      <c r="E1167" s="333"/>
      <c r="F1167" s="271"/>
      <c r="G1167" s="931"/>
      <c r="H1167" s="931"/>
      <c r="I1167" s="931"/>
      <c r="J1167" s="931"/>
      <c r="K1167" s="931"/>
      <c r="L1167" s="931"/>
      <c r="M1167" s="931"/>
      <c r="N1167" s="931"/>
      <c r="O1167" s="931"/>
      <c r="P1167" s="931"/>
      <c r="Q1167" s="931"/>
      <c r="R1167" s="931"/>
    </row>
    <row r="1168" spans="1:18" s="328" customFormat="1" ht="13.5" customHeight="1">
      <c r="A1168" s="331"/>
      <c r="B1168" s="331"/>
      <c r="C1168" s="332"/>
      <c r="D1168" s="331"/>
      <c r="E1168" s="333"/>
      <c r="F1168" s="271"/>
      <c r="G1168" s="931"/>
      <c r="H1168" s="931"/>
      <c r="I1168" s="931"/>
      <c r="J1168" s="931"/>
      <c r="K1168" s="931"/>
      <c r="L1168" s="931"/>
      <c r="M1168" s="931"/>
      <c r="N1168" s="931"/>
      <c r="O1168" s="931"/>
      <c r="P1168" s="931"/>
      <c r="Q1168" s="931"/>
      <c r="R1168" s="931"/>
    </row>
    <row r="1169" spans="1:18" s="328" customFormat="1" ht="13.5" customHeight="1">
      <c r="A1169" s="331"/>
      <c r="B1169" s="331"/>
      <c r="C1169" s="332"/>
      <c r="D1169" s="331"/>
      <c r="E1169" s="333"/>
      <c r="F1169" s="271"/>
      <c r="G1169" s="931"/>
      <c r="H1169" s="931"/>
      <c r="I1169" s="931"/>
      <c r="J1169" s="931"/>
      <c r="K1169" s="931"/>
      <c r="L1169" s="931"/>
      <c r="M1169" s="931"/>
      <c r="N1169" s="931"/>
      <c r="O1169" s="931"/>
      <c r="P1169" s="931"/>
      <c r="Q1169" s="931"/>
      <c r="R1169" s="931"/>
    </row>
    <row r="1170" spans="1:18" s="328" customFormat="1" ht="13.5" customHeight="1">
      <c r="A1170" s="331"/>
      <c r="B1170" s="331"/>
      <c r="C1170" s="332"/>
      <c r="D1170" s="331"/>
      <c r="E1170" s="333"/>
      <c r="F1170" s="271"/>
      <c r="G1170" s="931"/>
      <c r="H1170" s="931"/>
      <c r="I1170" s="931"/>
      <c r="J1170" s="931"/>
      <c r="K1170" s="931"/>
      <c r="L1170" s="931"/>
      <c r="M1170" s="931"/>
      <c r="N1170" s="931"/>
      <c r="O1170" s="931"/>
      <c r="P1170" s="931"/>
      <c r="Q1170" s="931"/>
      <c r="R1170" s="931"/>
    </row>
    <row r="1171" spans="1:18" s="328" customFormat="1" ht="13.5" customHeight="1">
      <c r="A1171" s="331"/>
      <c r="B1171" s="331"/>
      <c r="C1171" s="332"/>
      <c r="D1171" s="331"/>
      <c r="E1171" s="333"/>
      <c r="F1171" s="271"/>
      <c r="G1171" s="931"/>
      <c r="H1171" s="931"/>
      <c r="I1171" s="931"/>
      <c r="J1171" s="931"/>
      <c r="K1171" s="931"/>
      <c r="L1171" s="931"/>
      <c r="M1171" s="931"/>
      <c r="N1171" s="931"/>
      <c r="O1171" s="931"/>
      <c r="P1171" s="931"/>
      <c r="Q1171" s="931"/>
      <c r="R1171" s="931"/>
    </row>
    <row r="1172" spans="1:18" s="328" customFormat="1" ht="13.5" customHeight="1">
      <c r="A1172" s="331"/>
      <c r="B1172" s="331"/>
      <c r="C1172" s="332"/>
      <c r="D1172" s="331"/>
      <c r="E1172" s="333"/>
      <c r="F1172" s="271"/>
      <c r="G1172" s="931"/>
      <c r="H1172" s="931"/>
      <c r="I1172" s="931"/>
      <c r="J1172" s="931"/>
      <c r="K1172" s="931"/>
      <c r="L1172" s="931"/>
      <c r="M1172" s="931"/>
      <c r="N1172" s="931"/>
      <c r="O1172" s="931"/>
      <c r="P1172" s="931"/>
      <c r="Q1172" s="931"/>
      <c r="R1172" s="931"/>
    </row>
    <row r="1173" spans="1:18" s="328" customFormat="1" ht="13.5" customHeight="1">
      <c r="A1173" s="331"/>
      <c r="B1173" s="331"/>
      <c r="C1173" s="332"/>
      <c r="D1173" s="331"/>
      <c r="E1173" s="333"/>
      <c r="F1173" s="271"/>
      <c r="G1173" s="931"/>
      <c r="H1173" s="931"/>
      <c r="I1173" s="931"/>
      <c r="J1173" s="931"/>
      <c r="K1173" s="931"/>
      <c r="L1173" s="931"/>
      <c r="M1173" s="931"/>
      <c r="N1173" s="931"/>
      <c r="O1173" s="931"/>
      <c r="P1173" s="931"/>
      <c r="Q1173" s="931"/>
      <c r="R1173" s="931"/>
    </row>
    <row r="1174" spans="1:18" s="328" customFormat="1" ht="13.5" customHeight="1">
      <c r="A1174" s="331"/>
      <c r="B1174" s="331"/>
      <c r="C1174" s="332"/>
      <c r="D1174" s="331"/>
      <c r="E1174" s="333"/>
      <c r="F1174" s="271"/>
      <c r="G1174" s="931"/>
      <c r="H1174" s="931"/>
      <c r="I1174" s="931"/>
      <c r="J1174" s="931"/>
      <c r="K1174" s="931"/>
      <c r="L1174" s="931"/>
      <c r="M1174" s="931"/>
      <c r="N1174" s="931"/>
      <c r="O1174" s="931"/>
      <c r="P1174" s="931"/>
      <c r="Q1174" s="931"/>
      <c r="R1174" s="931"/>
    </row>
    <row r="1175" spans="1:18" s="328" customFormat="1" ht="13.5" customHeight="1">
      <c r="A1175" s="331"/>
      <c r="B1175" s="331"/>
      <c r="C1175" s="332"/>
      <c r="D1175" s="331"/>
      <c r="E1175" s="333"/>
      <c r="F1175" s="271"/>
      <c r="G1175" s="931"/>
      <c r="H1175" s="931"/>
      <c r="I1175" s="931"/>
      <c r="J1175" s="931"/>
      <c r="K1175" s="931"/>
      <c r="L1175" s="931"/>
      <c r="M1175" s="931"/>
      <c r="N1175" s="931"/>
      <c r="O1175" s="931"/>
      <c r="P1175" s="931"/>
      <c r="Q1175" s="931"/>
      <c r="R1175" s="931"/>
    </row>
    <row r="1176" spans="1:18" s="328" customFormat="1" ht="13.5" customHeight="1">
      <c r="A1176" s="331"/>
      <c r="B1176" s="331"/>
      <c r="C1176" s="332"/>
      <c r="D1176" s="331"/>
      <c r="E1176" s="333"/>
      <c r="F1176" s="271"/>
      <c r="G1176" s="931"/>
      <c r="H1176" s="931"/>
      <c r="I1176" s="931"/>
      <c r="J1176" s="931"/>
      <c r="K1176" s="931"/>
      <c r="L1176" s="931"/>
      <c r="M1176" s="931"/>
      <c r="N1176" s="931"/>
      <c r="O1176" s="931"/>
      <c r="P1176" s="931"/>
      <c r="Q1176" s="931"/>
      <c r="R1176" s="931"/>
    </row>
    <row r="1177" spans="1:18" s="328" customFormat="1" ht="13.5" customHeight="1">
      <c r="A1177" s="331"/>
      <c r="B1177" s="331"/>
      <c r="C1177" s="332"/>
      <c r="D1177" s="331"/>
      <c r="E1177" s="333"/>
      <c r="F1177" s="271"/>
      <c r="G1177" s="931"/>
      <c r="H1177" s="931"/>
      <c r="I1177" s="931"/>
      <c r="J1177" s="931"/>
      <c r="K1177" s="931"/>
      <c r="L1177" s="931"/>
      <c r="M1177" s="931"/>
      <c r="N1177" s="931"/>
      <c r="O1177" s="931"/>
      <c r="P1177" s="931"/>
      <c r="Q1177" s="931"/>
      <c r="R1177" s="931"/>
    </row>
    <row r="1178" spans="1:18" s="328" customFormat="1" ht="13.5" customHeight="1">
      <c r="A1178" s="331"/>
      <c r="B1178" s="331"/>
      <c r="C1178" s="332"/>
      <c r="D1178" s="331"/>
      <c r="E1178" s="333"/>
      <c r="F1178" s="271"/>
      <c r="G1178" s="931"/>
      <c r="H1178" s="931"/>
      <c r="I1178" s="931"/>
      <c r="J1178" s="931"/>
      <c r="K1178" s="931"/>
      <c r="L1178" s="931"/>
      <c r="M1178" s="931"/>
      <c r="N1178" s="931"/>
      <c r="O1178" s="931"/>
      <c r="P1178" s="931"/>
      <c r="Q1178" s="931"/>
      <c r="R1178" s="931"/>
    </row>
    <row r="1179" spans="1:18" s="328" customFormat="1" ht="13.5" customHeight="1">
      <c r="A1179" s="331"/>
      <c r="B1179" s="331"/>
      <c r="C1179" s="332"/>
      <c r="D1179" s="331"/>
      <c r="E1179" s="333"/>
      <c r="F1179" s="271"/>
      <c r="G1179" s="931"/>
      <c r="H1179" s="931"/>
      <c r="I1179" s="931"/>
      <c r="J1179" s="931"/>
      <c r="K1179" s="931"/>
      <c r="L1179" s="931"/>
      <c r="M1179" s="931"/>
      <c r="N1179" s="931"/>
      <c r="O1179" s="931"/>
      <c r="P1179" s="931"/>
      <c r="Q1179" s="931"/>
      <c r="R1179" s="931"/>
    </row>
    <row r="1180" spans="1:18" s="328" customFormat="1" ht="13.5" customHeight="1">
      <c r="A1180" s="331"/>
      <c r="B1180" s="331"/>
      <c r="C1180" s="332"/>
      <c r="D1180" s="331"/>
      <c r="E1180" s="333"/>
      <c r="F1180" s="271"/>
      <c r="G1180" s="931"/>
      <c r="H1180" s="931"/>
      <c r="I1180" s="931"/>
      <c r="J1180" s="931"/>
      <c r="K1180" s="931"/>
      <c r="L1180" s="931"/>
      <c r="M1180" s="931"/>
      <c r="N1180" s="931"/>
      <c r="O1180" s="931"/>
      <c r="P1180" s="931"/>
      <c r="Q1180" s="931"/>
      <c r="R1180" s="931"/>
    </row>
    <row r="1181" spans="1:18" s="328" customFormat="1" ht="13.5" customHeight="1">
      <c r="A1181" s="331"/>
      <c r="B1181" s="331"/>
      <c r="C1181" s="332"/>
      <c r="D1181" s="331"/>
      <c r="E1181" s="333"/>
      <c r="F1181" s="271"/>
      <c r="G1181" s="931"/>
      <c r="H1181" s="931"/>
      <c r="I1181" s="931"/>
      <c r="J1181" s="931"/>
      <c r="K1181" s="931"/>
      <c r="L1181" s="931"/>
      <c r="M1181" s="931"/>
      <c r="N1181" s="931"/>
      <c r="O1181" s="931"/>
      <c r="P1181" s="931"/>
      <c r="Q1181" s="931"/>
      <c r="R1181" s="931"/>
    </row>
    <row r="1182" spans="1:18" s="328" customFormat="1" ht="13.5" customHeight="1">
      <c r="A1182" s="331"/>
      <c r="B1182" s="331"/>
      <c r="C1182" s="332"/>
      <c r="D1182" s="331"/>
      <c r="E1182" s="333"/>
      <c r="F1182" s="271"/>
      <c r="G1182" s="931"/>
      <c r="H1182" s="931"/>
      <c r="I1182" s="931"/>
      <c r="J1182" s="931"/>
      <c r="K1182" s="931"/>
      <c r="L1182" s="931"/>
      <c r="M1182" s="931"/>
      <c r="N1182" s="931"/>
      <c r="O1182" s="931"/>
      <c r="P1182" s="931"/>
      <c r="Q1182" s="931"/>
      <c r="R1182" s="931"/>
    </row>
    <row r="1183" spans="1:18" s="328" customFormat="1" ht="13.5" customHeight="1">
      <c r="A1183" s="331"/>
      <c r="B1183" s="331"/>
      <c r="C1183" s="332"/>
      <c r="D1183" s="331"/>
      <c r="E1183" s="333"/>
      <c r="F1183" s="271"/>
      <c r="G1183" s="931"/>
      <c r="H1183" s="931"/>
      <c r="I1183" s="931"/>
      <c r="J1183" s="931"/>
      <c r="K1183" s="931"/>
      <c r="L1183" s="931"/>
      <c r="M1183" s="931"/>
      <c r="N1183" s="931"/>
      <c r="O1183" s="931"/>
      <c r="P1183" s="931"/>
      <c r="Q1183" s="931"/>
      <c r="R1183" s="931"/>
    </row>
    <row r="1184" spans="1:18" s="328" customFormat="1" ht="13.5" customHeight="1">
      <c r="A1184" s="331"/>
      <c r="B1184" s="331"/>
      <c r="C1184" s="332"/>
      <c r="D1184" s="331"/>
      <c r="E1184" s="333"/>
      <c r="F1184" s="271"/>
      <c r="G1184" s="931"/>
      <c r="H1184" s="931"/>
      <c r="I1184" s="931"/>
      <c r="J1184" s="931"/>
      <c r="K1184" s="931"/>
      <c r="L1184" s="931"/>
      <c r="M1184" s="931"/>
      <c r="N1184" s="931"/>
      <c r="O1184" s="931"/>
      <c r="P1184" s="931"/>
      <c r="Q1184" s="931"/>
      <c r="R1184" s="931"/>
    </row>
    <row r="1185" spans="1:18" s="328" customFormat="1" ht="13.5" customHeight="1">
      <c r="A1185" s="331"/>
      <c r="B1185" s="331"/>
      <c r="C1185" s="332"/>
      <c r="D1185" s="331"/>
      <c r="E1185" s="333"/>
      <c r="F1185" s="271"/>
      <c r="G1185" s="931"/>
      <c r="H1185" s="931"/>
      <c r="I1185" s="931"/>
      <c r="J1185" s="931"/>
      <c r="K1185" s="931"/>
      <c r="L1185" s="931"/>
      <c r="M1185" s="931"/>
      <c r="N1185" s="931"/>
      <c r="O1185" s="931"/>
      <c r="P1185" s="931"/>
      <c r="Q1185" s="931"/>
      <c r="R1185" s="931"/>
    </row>
    <row r="1186" spans="1:18" s="328" customFormat="1" ht="13.5" customHeight="1">
      <c r="A1186" s="331"/>
      <c r="B1186" s="331"/>
      <c r="C1186" s="332"/>
      <c r="D1186" s="331"/>
      <c r="E1186" s="333"/>
      <c r="F1186" s="271"/>
      <c r="G1186" s="931"/>
      <c r="H1186" s="931"/>
      <c r="I1186" s="931"/>
      <c r="J1186" s="931"/>
      <c r="K1186" s="931"/>
      <c r="L1186" s="931"/>
      <c r="M1186" s="931"/>
      <c r="N1186" s="931"/>
      <c r="O1186" s="931"/>
      <c r="P1186" s="931"/>
      <c r="Q1186" s="931"/>
      <c r="R1186" s="931"/>
    </row>
    <row r="1187" spans="1:18" s="328" customFormat="1" ht="13.5" customHeight="1">
      <c r="A1187" s="331"/>
      <c r="B1187" s="331"/>
      <c r="C1187" s="332"/>
      <c r="D1187" s="331"/>
      <c r="E1187" s="333"/>
      <c r="F1187" s="271"/>
      <c r="G1187" s="931"/>
      <c r="H1187" s="931"/>
      <c r="I1187" s="931"/>
      <c r="J1187" s="931"/>
      <c r="K1187" s="931"/>
      <c r="L1187" s="931"/>
      <c r="M1187" s="931"/>
      <c r="N1187" s="931"/>
      <c r="O1187" s="931"/>
      <c r="P1187" s="931"/>
      <c r="Q1187" s="931"/>
      <c r="R1187" s="931"/>
    </row>
    <row r="1188" spans="1:18" s="328" customFormat="1" ht="13.5" customHeight="1">
      <c r="A1188" s="331"/>
      <c r="B1188" s="331"/>
      <c r="C1188" s="332"/>
      <c r="D1188" s="331"/>
      <c r="E1188" s="333"/>
      <c r="F1188" s="271"/>
      <c r="G1188" s="931"/>
      <c r="H1188" s="931"/>
      <c r="I1188" s="931"/>
      <c r="J1188" s="931"/>
      <c r="K1188" s="931"/>
      <c r="L1188" s="931"/>
      <c r="M1188" s="931"/>
      <c r="N1188" s="931"/>
      <c r="O1188" s="931"/>
      <c r="P1188" s="931"/>
      <c r="Q1188" s="931"/>
      <c r="R1188" s="931"/>
    </row>
    <row r="1189" spans="1:18" s="328" customFormat="1" ht="13.5" customHeight="1">
      <c r="A1189" s="331"/>
      <c r="B1189" s="331"/>
      <c r="C1189" s="332"/>
      <c r="D1189" s="331"/>
      <c r="E1189" s="333"/>
      <c r="F1189" s="271"/>
      <c r="G1189" s="931"/>
      <c r="H1189" s="931"/>
      <c r="I1189" s="931"/>
      <c r="J1189" s="931"/>
      <c r="K1189" s="931"/>
      <c r="L1189" s="931"/>
      <c r="M1189" s="931"/>
      <c r="N1189" s="931"/>
      <c r="O1189" s="931"/>
      <c r="P1189" s="931"/>
      <c r="Q1189" s="931"/>
      <c r="R1189" s="931"/>
    </row>
    <row r="1190" spans="1:18" s="328" customFormat="1" ht="13.5" customHeight="1">
      <c r="A1190" s="331"/>
      <c r="B1190" s="331"/>
      <c r="C1190" s="332"/>
      <c r="D1190" s="331"/>
      <c r="E1190" s="333"/>
      <c r="F1190" s="271"/>
      <c r="G1190" s="931"/>
      <c r="H1190" s="931"/>
      <c r="I1190" s="931"/>
      <c r="J1190" s="931"/>
      <c r="K1190" s="931"/>
      <c r="L1190" s="931"/>
      <c r="M1190" s="931"/>
      <c r="N1190" s="931"/>
      <c r="O1190" s="931"/>
      <c r="P1190" s="931"/>
      <c r="Q1190" s="931"/>
      <c r="R1190" s="931"/>
    </row>
    <row r="1191" spans="1:18" s="328" customFormat="1" ht="13.5" customHeight="1">
      <c r="A1191" s="331"/>
      <c r="B1191" s="331"/>
      <c r="C1191" s="332"/>
      <c r="D1191" s="331"/>
      <c r="E1191" s="333"/>
      <c r="F1191" s="271"/>
      <c r="G1191" s="931"/>
      <c r="H1191" s="931"/>
      <c r="I1191" s="931"/>
      <c r="J1191" s="931"/>
      <c r="K1191" s="931"/>
      <c r="L1191" s="931"/>
      <c r="M1191" s="931"/>
      <c r="N1191" s="931"/>
      <c r="O1191" s="931"/>
      <c r="P1191" s="931"/>
      <c r="Q1191" s="931"/>
      <c r="R1191" s="931"/>
    </row>
    <row r="1192" spans="1:18" s="328" customFormat="1" ht="13.5" customHeight="1">
      <c r="A1192" s="331"/>
      <c r="B1192" s="331"/>
      <c r="C1192" s="332"/>
      <c r="D1192" s="331"/>
      <c r="E1192" s="333"/>
      <c r="F1192" s="271"/>
      <c r="G1192" s="931"/>
      <c r="H1192" s="931"/>
      <c r="I1192" s="931"/>
      <c r="J1192" s="931"/>
      <c r="K1192" s="931"/>
      <c r="L1192" s="931"/>
      <c r="M1192" s="931"/>
      <c r="N1192" s="931"/>
      <c r="O1192" s="931"/>
      <c r="P1192" s="931"/>
      <c r="Q1192" s="931"/>
      <c r="R1192" s="931"/>
    </row>
    <row r="1193" spans="1:18" s="328" customFormat="1" ht="13.5" customHeight="1">
      <c r="A1193" s="331"/>
      <c r="B1193" s="331"/>
      <c r="C1193" s="332"/>
      <c r="D1193" s="331"/>
      <c r="E1193" s="333"/>
      <c r="F1193" s="271"/>
      <c r="G1193" s="931"/>
      <c r="H1193" s="931"/>
      <c r="I1193" s="931"/>
      <c r="J1193" s="931"/>
      <c r="K1193" s="931"/>
      <c r="L1193" s="931"/>
      <c r="M1193" s="931"/>
      <c r="N1193" s="931"/>
      <c r="O1193" s="931"/>
      <c r="P1193" s="931"/>
      <c r="Q1193" s="931"/>
      <c r="R1193" s="931"/>
    </row>
    <row r="1194" spans="1:18" s="328" customFormat="1" ht="13.5" customHeight="1">
      <c r="A1194" s="331"/>
      <c r="B1194" s="331"/>
      <c r="C1194" s="332"/>
      <c r="D1194" s="331"/>
      <c r="E1194" s="333"/>
      <c r="F1194" s="271"/>
      <c r="G1194" s="931"/>
      <c r="H1194" s="931"/>
      <c r="I1194" s="931"/>
      <c r="J1194" s="931"/>
      <c r="K1194" s="931"/>
      <c r="L1194" s="931"/>
      <c r="M1194" s="931"/>
      <c r="N1194" s="931"/>
      <c r="O1194" s="931"/>
      <c r="P1194" s="931"/>
      <c r="Q1194" s="931"/>
      <c r="R1194" s="931"/>
    </row>
    <row r="1195" spans="1:18" s="328" customFormat="1" ht="13.5" customHeight="1">
      <c r="A1195" s="331"/>
      <c r="B1195" s="331"/>
      <c r="C1195" s="332"/>
      <c r="D1195" s="331"/>
      <c r="E1195" s="333"/>
      <c r="F1195" s="271"/>
      <c r="G1195" s="931"/>
      <c r="H1195" s="931"/>
      <c r="I1195" s="931"/>
      <c r="J1195" s="931"/>
      <c r="K1195" s="931"/>
      <c r="L1195" s="931"/>
      <c r="M1195" s="931"/>
      <c r="N1195" s="931"/>
      <c r="O1195" s="931"/>
      <c r="P1195" s="931"/>
      <c r="Q1195" s="931"/>
      <c r="R1195" s="931"/>
    </row>
    <row r="1196" spans="1:18" s="328" customFormat="1" ht="13.5" customHeight="1">
      <c r="A1196" s="331"/>
      <c r="B1196" s="331"/>
      <c r="C1196" s="332"/>
      <c r="D1196" s="331"/>
      <c r="E1196" s="333"/>
      <c r="F1196" s="271"/>
      <c r="G1196" s="931"/>
      <c r="H1196" s="931"/>
      <c r="I1196" s="931"/>
      <c r="J1196" s="931"/>
      <c r="K1196" s="931"/>
      <c r="L1196" s="931"/>
      <c r="M1196" s="931"/>
      <c r="N1196" s="931"/>
      <c r="O1196" s="931"/>
      <c r="P1196" s="931"/>
      <c r="Q1196" s="931"/>
      <c r="R1196" s="931"/>
    </row>
    <row r="1197" spans="1:18" s="328" customFormat="1" ht="13.5" customHeight="1">
      <c r="A1197" s="331"/>
      <c r="B1197" s="331"/>
      <c r="C1197" s="332"/>
      <c r="D1197" s="331"/>
      <c r="E1197" s="333"/>
      <c r="F1197" s="271"/>
      <c r="G1197" s="931"/>
      <c r="H1197" s="931"/>
      <c r="I1197" s="931"/>
      <c r="J1197" s="931"/>
      <c r="K1197" s="931"/>
      <c r="L1197" s="931"/>
      <c r="M1197" s="931"/>
      <c r="N1197" s="931"/>
      <c r="O1197" s="931"/>
      <c r="P1197" s="931"/>
      <c r="Q1197" s="931"/>
      <c r="R1197" s="931"/>
    </row>
    <row r="1198" spans="1:18" s="328" customFormat="1" ht="13.5" customHeight="1">
      <c r="A1198" s="331"/>
      <c r="B1198" s="331"/>
      <c r="C1198" s="332"/>
      <c r="D1198" s="331"/>
      <c r="E1198" s="333"/>
      <c r="F1198" s="271"/>
      <c r="G1198" s="931"/>
      <c r="H1198" s="931"/>
      <c r="I1198" s="931"/>
      <c r="J1198" s="931"/>
      <c r="K1198" s="931"/>
      <c r="L1198" s="931"/>
      <c r="M1198" s="931"/>
      <c r="N1198" s="931"/>
      <c r="O1198" s="931"/>
      <c r="P1198" s="931"/>
      <c r="Q1198" s="931"/>
      <c r="R1198" s="931"/>
    </row>
    <row r="1199" spans="1:18" s="328" customFormat="1" ht="13.5" customHeight="1">
      <c r="A1199" s="331"/>
      <c r="B1199" s="331"/>
      <c r="C1199" s="332"/>
      <c r="D1199" s="331"/>
      <c r="E1199" s="333"/>
      <c r="F1199" s="271"/>
      <c r="G1199" s="931"/>
      <c r="H1199" s="931"/>
      <c r="I1199" s="931"/>
      <c r="J1199" s="931"/>
      <c r="K1199" s="931"/>
      <c r="L1199" s="931"/>
      <c r="M1199" s="931"/>
      <c r="N1199" s="931"/>
      <c r="O1199" s="931"/>
      <c r="P1199" s="931"/>
      <c r="Q1199" s="931"/>
      <c r="R1199" s="931"/>
    </row>
    <row r="1200" spans="1:18" s="328" customFormat="1" ht="13.5" customHeight="1">
      <c r="A1200" s="331"/>
      <c r="B1200" s="331"/>
      <c r="C1200" s="332"/>
      <c r="D1200" s="331"/>
      <c r="E1200" s="333"/>
      <c r="F1200" s="271"/>
      <c r="G1200" s="931"/>
      <c r="H1200" s="931"/>
      <c r="I1200" s="931"/>
      <c r="J1200" s="931"/>
      <c r="K1200" s="931"/>
      <c r="L1200" s="931"/>
      <c r="M1200" s="931"/>
      <c r="N1200" s="931"/>
      <c r="O1200" s="931"/>
      <c r="P1200" s="931"/>
      <c r="Q1200" s="931"/>
      <c r="R1200" s="931"/>
    </row>
    <row r="1201" spans="1:18" s="328" customFormat="1" ht="13.5" customHeight="1">
      <c r="A1201" s="331"/>
      <c r="B1201" s="331"/>
      <c r="C1201" s="332"/>
      <c r="D1201" s="331"/>
      <c r="E1201" s="333"/>
      <c r="F1201" s="271"/>
      <c r="G1201" s="931"/>
      <c r="H1201" s="931"/>
      <c r="I1201" s="931"/>
      <c r="J1201" s="931"/>
      <c r="K1201" s="931"/>
      <c r="L1201" s="931"/>
      <c r="M1201" s="931"/>
      <c r="N1201" s="931"/>
      <c r="O1201" s="931"/>
      <c r="P1201" s="931"/>
      <c r="Q1201" s="931"/>
      <c r="R1201" s="931"/>
    </row>
    <row r="1202" spans="1:18" s="328" customFormat="1" ht="13.5" customHeight="1">
      <c r="A1202" s="331"/>
      <c r="B1202" s="331"/>
      <c r="C1202" s="332"/>
      <c r="D1202" s="331"/>
      <c r="E1202" s="333"/>
      <c r="F1202" s="271"/>
      <c r="G1202" s="931"/>
      <c r="H1202" s="931"/>
      <c r="I1202" s="931"/>
      <c r="J1202" s="931"/>
      <c r="K1202" s="931"/>
      <c r="L1202" s="931"/>
      <c r="M1202" s="931"/>
      <c r="N1202" s="931"/>
      <c r="O1202" s="931"/>
      <c r="P1202" s="931"/>
      <c r="Q1202" s="931"/>
      <c r="R1202" s="931"/>
    </row>
    <row r="1203" spans="1:18" s="328" customFormat="1" ht="13.5" customHeight="1">
      <c r="A1203" s="331"/>
      <c r="B1203" s="331"/>
      <c r="C1203" s="332"/>
      <c r="D1203" s="331"/>
      <c r="E1203" s="333"/>
      <c r="F1203" s="271"/>
      <c r="G1203" s="931"/>
      <c r="H1203" s="931"/>
      <c r="I1203" s="931"/>
      <c r="J1203" s="931"/>
      <c r="K1203" s="931"/>
      <c r="L1203" s="931"/>
      <c r="M1203" s="931"/>
      <c r="N1203" s="931"/>
      <c r="O1203" s="931"/>
      <c r="P1203" s="931"/>
      <c r="Q1203" s="931"/>
      <c r="R1203" s="931"/>
    </row>
    <row r="1204" spans="1:18" s="328" customFormat="1" ht="13.5" customHeight="1">
      <c r="A1204" s="331"/>
      <c r="B1204" s="331"/>
      <c r="C1204" s="332"/>
      <c r="D1204" s="331"/>
      <c r="E1204" s="333"/>
      <c r="F1204" s="271"/>
      <c r="G1204" s="931"/>
      <c r="H1204" s="931"/>
      <c r="I1204" s="931"/>
      <c r="J1204" s="931"/>
      <c r="K1204" s="931"/>
      <c r="L1204" s="931"/>
      <c r="M1204" s="931"/>
      <c r="N1204" s="931"/>
      <c r="O1204" s="931"/>
      <c r="P1204" s="931"/>
      <c r="Q1204" s="931"/>
      <c r="R1204" s="931"/>
    </row>
    <row r="1205" spans="1:18" s="328" customFormat="1" ht="13.5" customHeight="1">
      <c r="A1205" s="331"/>
      <c r="B1205" s="331"/>
      <c r="C1205" s="332"/>
      <c r="D1205" s="331"/>
      <c r="E1205" s="333"/>
      <c r="F1205" s="271"/>
      <c r="G1205" s="931"/>
      <c r="H1205" s="931"/>
      <c r="I1205" s="931"/>
      <c r="J1205" s="931"/>
      <c r="K1205" s="931"/>
      <c r="L1205" s="931"/>
      <c r="M1205" s="931"/>
      <c r="N1205" s="931"/>
      <c r="O1205" s="931"/>
      <c r="P1205" s="931"/>
      <c r="Q1205" s="931"/>
      <c r="R1205" s="931"/>
    </row>
    <row r="1206" spans="1:18" s="328" customFormat="1" ht="13.5" customHeight="1">
      <c r="A1206" s="331"/>
      <c r="B1206" s="331"/>
      <c r="C1206" s="332"/>
      <c r="D1206" s="331"/>
      <c r="E1206" s="333"/>
      <c r="F1206" s="271"/>
      <c r="G1206" s="931"/>
      <c r="H1206" s="931"/>
      <c r="I1206" s="931"/>
      <c r="J1206" s="931"/>
      <c r="K1206" s="931"/>
      <c r="L1206" s="931"/>
      <c r="M1206" s="931"/>
      <c r="N1206" s="931"/>
      <c r="O1206" s="931"/>
      <c r="P1206" s="931"/>
      <c r="Q1206" s="931"/>
      <c r="R1206" s="931"/>
    </row>
    <row r="1207" spans="1:18" s="328" customFormat="1" ht="13.5" customHeight="1">
      <c r="A1207" s="331"/>
      <c r="B1207" s="331"/>
      <c r="C1207" s="332"/>
      <c r="D1207" s="331"/>
      <c r="E1207" s="333"/>
      <c r="F1207" s="271"/>
      <c r="G1207" s="931"/>
      <c r="H1207" s="931"/>
      <c r="I1207" s="931"/>
      <c r="J1207" s="931"/>
      <c r="K1207" s="931"/>
      <c r="L1207" s="931"/>
      <c r="M1207" s="931"/>
      <c r="N1207" s="931"/>
      <c r="O1207" s="931"/>
      <c r="P1207" s="931"/>
      <c r="Q1207" s="931"/>
      <c r="R1207" s="931"/>
    </row>
    <row r="1208" spans="1:18" s="328" customFormat="1" ht="13.5" customHeight="1">
      <c r="A1208" s="331"/>
      <c r="B1208" s="331"/>
      <c r="C1208" s="332"/>
      <c r="D1208" s="331"/>
      <c r="E1208" s="333"/>
      <c r="F1208" s="271"/>
      <c r="G1208" s="931"/>
      <c r="H1208" s="931"/>
      <c r="I1208" s="931"/>
      <c r="J1208" s="931"/>
      <c r="K1208" s="931"/>
      <c r="L1208" s="931"/>
      <c r="M1208" s="931"/>
      <c r="N1208" s="931"/>
      <c r="O1208" s="931"/>
      <c r="P1208" s="931"/>
      <c r="Q1208" s="931"/>
      <c r="R1208" s="931"/>
    </row>
    <row r="1209" spans="1:18" s="328" customFormat="1" ht="13.5" customHeight="1">
      <c r="A1209" s="331"/>
      <c r="B1209" s="331"/>
      <c r="C1209" s="332"/>
      <c r="D1209" s="331"/>
      <c r="E1209" s="333"/>
      <c r="F1209" s="271"/>
      <c r="G1209" s="931"/>
      <c r="H1209" s="931"/>
      <c r="I1209" s="931"/>
      <c r="J1209" s="931"/>
      <c r="K1209" s="931"/>
      <c r="L1209" s="931"/>
      <c r="M1209" s="931"/>
      <c r="N1209" s="931"/>
      <c r="O1209" s="931"/>
      <c r="P1209" s="931"/>
      <c r="Q1209" s="931"/>
      <c r="R1209" s="931"/>
    </row>
    <row r="1210" spans="1:18" s="328" customFormat="1" ht="13.5" customHeight="1">
      <c r="A1210" s="331"/>
      <c r="B1210" s="331"/>
      <c r="C1210" s="332"/>
      <c r="D1210" s="331"/>
      <c r="E1210" s="333"/>
      <c r="F1210" s="271"/>
      <c r="G1210" s="931"/>
      <c r="H1210" s="931"/>
      <c r="I1210" s="931"/>
      <c r="J1210" s="931"/>
      <c r="K1210" s="931"/>
      <c r="L1210" s="931"/>
      <c r="M1210" s="931"/>
      <c r="N1210" s="931"/>
      <c r="O1210" s="931"/>
      <c r="P1210" s="931"/>
      <c r="Q1210" s="931"/>
      <c r="R1210" s="931"/>
    </row>
    <row r="1211" spans="1:18" s="328" customFormat="1" ht="13.5" customHeight="1">
      <c r="A1211" s="331"/>
      <c r="B1211" s="331"/>
      <c r="C1211" s="332"/>
      <c r="D1211" s="331"/>
      <c r="E1211" s="333"/>
      <c r="F1211" s="271"/>
      <c r="G1211" s="931"/>
      <c r="H1211" s="931"/>
      <c r="I1211" s="931"/>
      <c r="J1211" s="931"/>
      <c r="K1211" s="931"/>
      <c r="L1211" s="931"/>
      <c r="M1211" s="931"/>
      <c r="N1211" s="931"/>
      <c r="O1211" s="931"/>
      <c r="P1211" s="931"/>
      <c r="Q1211" s="931"/>
      <c r="R1211" s="931"/>
    </row>
    <row r="1212" spans="1:18" s="328" customFormat="1" ht="13.5" customHeight="1">
      <c r="A1212" s="331"/>
      <c r="B1212" s="331"/>
      <c r="C1212" s="332"/>
      <c r="D1212" s="331"/>
      <c r="E1212" s="333"/>
      <c r="F1212" s="271"/>
      <c r="G1212" s="931"/>
      <c r="H1212" s="931"/>
      <c r="I1212" s="931"/>
      <c r="J1212" s="931"/>
      <c r="K1212" s="931"/>
      <c r="L1212" s="931"/>
      <c r="M1212" s="931"/>
      <c r="N1212" s="931"/>
      <c r="O1212" s="931"/>
      <c r="P1212" s="931"/>
      <c r="Q1212" s="931"/>
      <c r="R1212" s="931"/>
    </row>
    <row r="1213" spans="1:18" s="328" customFormat="1" ht="13.5" customHeight="1">
      <c r="A1213" s="331"/>
      <c r="B1213" s="331"/>
      <c r="C1213" s="332"/>
      <c r="D1213" s="331"/>
      <c r="E1213" s="333"/>
      <c r="F1213" s="271"/>
      <c r="G1213" s="931"/>
      <c r="H1213" s="931"/>
      <c r="I1213" s="931"/>
      <c r="J1213" s="931"/>
      <c r="K1213" s="931"/>
      <c r="L1213" s="931"/>
      <c r="M1213" s="931"/>
      <c r="N1213" s="931"/>
      <c r="O1213" s="931"/>
      <c r="P1213" s="931"/>
      <c r="Q1213" s="931"/>
      <c r="R1213" s="931"/>
    </row>
    <row r="1214" spans="1:18" s="328" customFormat="1" ht="13.5" customHeight="1">
      <c r="A1214" s="331"/>
      <c r="B1214" s="331"/>
      <c r="C1214" s="332"/>
      <c r="D1214" s="331"/>
      <c r="E1214" s="333"/>
      <c r="F1214" s="271"/>
      <c r="G1214" s="931"/>
      <c r="H1214" s="931"/>
      <c r="I1214" s="931"/>
      <c r="J1214" s="931"/>
      <c r="K1214" s="931"/>
      <c r="L1214" s="931"/>
      <c r="M1214" s="931"/>
      <c r="N1214" s="931"/>
      <c r="O1214" s="931"/>
      <c r="P1214" s="931"/>
      <c r="Q1214" s="931"/>
      <c r="R1214" s="931"/>
    </row>
    <row r="1215" spans="1:18" s="328" customFormat="1" ht="13.5" customHeight="1">
      <c r="A1215" s="331"/>
      <c r="B1215" s="331"/>
      <c r="C1215" s="332"/>
      <c r="D1215" s="331"/>
      <c r="E1215" s="333"/>
      <c r="F1215" s="271"/>
      <c r="G1215" s="931"/>
      <c r="H1215" s="931"/>
      <c r="I1215" s="931"/>
      <c r="J1215" s="931"/>
      <c r="K1215" s="931"/>
      <c r="L1215" s="931"/>
      <c r="M1215" s="931"/>
      <c r="N1215" s="931"/>
      <c r="O1215" s="931"/>
      <c r="P1215" s="931"/>
      <c r="Q1215" s="931"/>
      <c r="R1215" s="931"/>
    </row>
    <row r="1216" spans="1:18" s="328" customFormat="1" ht="13.5" customHeight="1">
      <c r="A1216" s="331"/>
      <c r="B1216" s="331"/>
      <c r="C1216" s="332"/>
      <c r="D1216" s="331"/>
      <c r="E1216" s="333"/>
      <c r="F1216" s="271"/>
      <c r="G1216" s="931"/>
      <c r="H1216" s="931"/>
      <c r="I1216" s="931"/>
      <c r="J1216" s="931"/>
      <c r="K1216" s="931"/>
      <c r="L1216" s="931"/>
      <c r="M1216" s="931"/>
      <c r="N1216" s="931"/>
      <c r="O1216" s="931"/>
      <c r="P1216" s="931"/>
      <c r="Q1216" s="931"/>
      <c r="R1216" s="931"/>
    </row>
    <row r="1217" spans="1:18" s="328" customFormat="1" ht="13.5" customHeight="1">
      <c r="A1217" s="331"/>
      <c r="B1217" s="331"/>
      <c r="C1217" s="332"/>
      <c r="D1217" s="331"/>
      <c r="E1217" s="333"/>
      <c r="F1217" s="271"/>
      <c r="G1217" s="931"/>
      <c r="H1217" s="931"/>
      <c r="I1217" s="931"/>
      <c r="J1217" s="931"/>
      <c r="K1217" s="931"/>
      <c r="L1217" s="931"/>
      <c r="M1217" s="931"/>
      <c r="N1217" s="931"/>
      <c r="O1217" s="931"/>
      <c r="P1217" s="931"/>
      <c r="Q1217" s="931"/>
      <c r="R1217" s="931"/>
    </row>
    <row r="1218" spans="1:18" s="328" customFormat="1" ht="13.5" customHeight="1">
      <c r="A1218" s="331"/>
      <c r="B1218" s="331"/>
      <c r="C1218" s="332"/>
      <c r="D1218" s="331"/>
      <c r="E1218" s="333"/>
      <c r="F1218" s="271"/>
      <c r="G1218" s="931"/>
      <c r="H1218" s="931"/>
      <c r="I1218" s="931"/>
      <c r="J1218" s="931"/>
      <c r="K1218" s="931"/>
      <c r="L1218" s="931"/>
      <c r="M1218" s="931"/>
      <c r="N1218" s="931"/>
      <c r="O1218" s="931"/>
      <c r="P1218" s="931"/>
      <c r="Q1218" s="931"/>
      <c r="R1218" s="931"/>
    </row>
    <row r="1219" spans="1:18" s="328" customFormat="1" ht="13.5" customHeight="1">
      <c r="A1219" s="331"/>
      <c r="B1219" s="331"/>
      <c r="C1219" s="332"/>
      <c r="D1219" s="331"/>
      <c r="E1219" s="333"/>
      <c r="F1219" s="271"/>
      <c r="G1219" s="931"/>
      <c r="H1219" s="931"/>
      <c r="I1219" s="931"/>
      <c r="J1219" s="931"/>
      <c r="K1219" s="931"/>
      <c r="L1219" s="931"/>
      <c r="M1219" s="931"/>
      <c r="N1219" s="931"/>
      <c r="O1219" s="931"/>
      <c r="P1219" s="931"/>
      <c r="Q1219" s="931"/>
      <c r="R1219" s="931"/>
    </row>
    <row r="1220" spans="1:18" s="328" customFormat="1" ht="13.5" customHeight="1">
      <c r="A1220" s="331"/>
      <c r="B1220" s="331"/>
      <c r="C1220" s="332"/>
      <c r="D1220" s="331"/>
      <c r="E1220" s="333"/>
      <c r="F1220" s="271"/>
      <c r="G1220" s="931"/>
      <c r="H1220" s="931"/>
      <c r="I1220" s="931"/>
      <c r="J1220" s="931"/>
      <c r="K1220" s="931"/>
      <c r="L1220" s="931"/>
      <c r="M1220" s="931"/>
      <c r="N1220" s="931"/>
      <c r="O1220" s="931"/>
      <c r="P1220" s="931"/>
      <c r="Q1220" s="931"/>
      <c r="R1220" s="931"/>
    </row>
    <row r="1221" spans="1:18" s="328" customFormat="1" ht="13.5" customHeight="1">
      <c r="A1221" s="331"/>
      <c r="B1221" s="331"/>
      <c r="C1221" s="332"/>
      <c r="D1221" s="331"/>
      <c r="E1221" s="333"/>
      <c r="F1221" s="271"/>
      <c r="G1221" s="931"/>
      <c r="H1221" s="931"/>
      <c r="I1221" s="931"/>
      <c r="J1221" s="931"/>
      <c r="K1221" s="931"/>
      <c r="L1221" s="931"/>
      <c r="M1221" s="931"/>
      <c r="N1221" s="931"/>
      <c r="O1221" s="931"/>
      <c r="P1221" s="931"/>
      <c r="Q1221" s="931"/>
      <c r="R1221" s="931"/>
    </row>
    <row r="1222" spans="1:18" s="328" customFormat="1" ht="13.5" customHeight="1">
      <c r="A1222" s="331"/>
      <c r="B1222" s="331"/>
      <c r="C1222" s="332"/>
      <c r="D1222" s="331"/>
      <c r="E1222" s="333"/>
      <c r="F1222" s="271"/>
      <c r="G1222" s="931"/>
      <c r="H1222" s="931"/>
      <c r="I1222" s="931"/>
      <c r="J1222" s="931"/>
      <c r="K1222" s="931"/>
      <c r="L1222" s="931"/>
      <c r="M1222" s="931"/>
      <c r="N1222" s="931"/>
      <c r="O1222" s="931"/>
      <c r="P1222" s="931"/>
      <c r="Q1222" s="931"/>
      <c r="R1222" s="931"/>
    </row>
    <row r="1223" spans="1:18" s="328" customFormat="1" ht="13.5" customHeight="1">
      <c r="A1223" s="331"/>
      <c r="B1223" s="331"/>
      <c r="C1223" s="332"/>
      <c r="D1223" s="331"/>
      <c r="E1223" s="333"/>
      <c r="F1223" s="271"/>
      <c r="G1223" s="931"/>
      <c r="H1223" s="931"/>
      <c r="I1223" s="931"/>
      <c r="J1223" s="931"/>
      <c r="K1223" s="931"/>
      <c r="L1223" s="931"/>
      <c r="M1223" s="931"/>
      <c r="N1223" s="931"/>
      <c r="O1223" s="931"/>
      <c r="P1223" s="931"/>
      <c r="Q1223" s="931"/>
      <c r="R1223" s="931"/>
    </row>
    <row r="1224" spans="1:18" s="328" customFormat="1" ht="13.5" customHeight="1">
      <c r="A1224" s="331"/>
      <c r="B1224" s="331"/>
      <c r="C1224" s="332"/>
      <c r="D1224" s="331"/>
      <c r="E1224" s="333"/>
      <c r="F1224" s="271"/>
      <c r="G1224" s="931"/>
      <c r="H1224" s="931"/>
      <c r="I1224" s="931"/>
      <c r="J1224" s="931"/>
      <c r="K1224" s="931"/>
      <c r="L1224" s="931"/>
      <c r="M1224" s="931"/>
      <c r="N1224" s="931"/>
      <c r="O1224" s="931"/>
      <c r="P1224" s="931"/>
      <c r="Q1224" s="931"/>
      <c r="R1224" s="931"/>
    </row>
    <row r="1225" spans="1:18" s="328" customFormat="1" ht="13.5" customHeight="1">
      <c r="A1225" s="331"/>
      <c r="B1225" s="331"/>
      <c r="C1225" s="332"/>
      <c r="D1225" s="331"/>
      <c r="E1225" s="333"/>
      <c r="F1225" s="271"/>
      <c r="G1225" s="931"/>
      <c r="H1225" s="931"/>
      <c r="I1225" s="931"/>
      <c r="J1225" s="931"/>
      <c r="K1225" s="931"/>
      <c r="L1225" s="931"/>
      <c r="M1225" s="931"/>
      <c r="N1225" s="931"/>
      <c r="O1225" s="931"/>
      <c r="P1225" s="931"/>
      <c r="Q1225" s="931"/>
      <c r="R1225" s="931"/>
    </row>
    <row r="1226" spans="1:18" s="328" customFormat="1" ht="13.5" customHeight="1">
      <c r="A1226" s="331"/>
      <c r="B1226" s="331"/>
      <c r="C1226" s="332"/>
      <c r="D1226" s="331"/>
      <c r="E1226" s="333"/>
      <c r="F1226" s="271"/>
      <c r="G1226" s="931"/>
      <c r="H1226" s="931"/>
      <c r="I1226" s="931"/>
      <c r="J1226" s="931"/>
      <c r="K1226" s="931"/>
      <c r="L1226" s="931"/>
      <c r="M1226" s="931"/>
      <c r="N1226" s="931"/>
      <c r="O1226" s="931"/>
      <c r="P1226" s="931"/>
      <c r="Q1226" s="931"/>
      <c r="R1226" s="931"/>
    </row>
    <row r="1227" spans="1:18" s="328" customFormat="1" ht="13.5" customHeight="1">
      <c r="A1227" s="331"/>
      <c r="B1227" s="331"/>
      <c r="C1227" s="332"/>
      <c r="D1227" s="331"/>
      <c r="E1227" s="333"/>
      <c r="F1227" s="271"/>
      <c r="G1227" s="931"/>
      <c r="H1227" s="931"/>
      <c r="I1227" s="931"/>
      <c r="J1227" s="931"/>
      <c r="K1227" s="931"/>
      <c r="L1227" s="931"/>
      <c r="M1227" s="931"/>
      <c r="N1227" s="931"/>
      <c r="O1227" s="931"/>
      <c r="P1227" s="931"/>
      <c r="Q1227" s="931"/>
      <c r="R1227" s="931"/>
    </row>
    <row r="1228" spans="1:18" s="328" customFormat="1" ht="13.5" customHeight="1">
      <c r="A1228" s="331"/>
      <c r="B1228" s="331"/>
      <c r="C1228" s="332"/>
      <c r="D1228" s="331"/>
      <c r="E1228" s="333"/>
      <c r="F1228" s="271"/>
      <c r="G1228" s="931"/>
      <c r="H1228" s="931"/>
      <c r="I1228" s="931"/>
      <c r="J1228" s="931"/>
      <c r="K1228" s="931"/>
      <c r="L1228" s="931"/>
      <c r="M1228" s="931"/>
      <c r="N1228" s="931"/>
      <c r="O1228" s="931"/>
      <c r="P1228" s="931"/>
      <c r="Q1228" s="931"/>
      <c r="R1228" s="931"/>
    </row>
    <row r="1229" spans="1:18" s="328" customFormat="1" ht="13.5" customHeight="1">
      <c r="A1229" s="331"/>
      <c r="B1229" s="331"/>
      <c r="C1229" s="332"/>
      <c r="D1229" s="331"/>
      <c r="E1229" s="333"/>
      <c r="F1229" s="271"/>
      <c r="G1229" s="931"/>
      <c r="H1229" s="931"/>
      <c r="I1229" s="931"/>
      <c r="J1229" s="931"/>
      <c r="K1229" s="931"/>
      <c r="L1229" s="931"/>
      <c r="M1229" s="931"/>
      <c r="N1229" s="931"/>
      <c r="O1229" s="931"/>
      <c r="P1229" s="931"/>
      <c r="Q1229" s="931"/>
      <c r="R1229" s="931"/>
    </row>
    <row r="1230" spans="1:18" s="328" customFormat="1" ht="13.5" customHeight="1">
      <c r="A1230" s="331"/>
      <c r="B1230" s="331"/>
      <c r="C1230" s="332"/>
      <c r="D1230" s="331"/>
      <c r="E1230" s="333"/>
      <c r="F1230" s="271"/>
      <c r="G1230" s="931"/>
      <c r="H1230" s="931"/>
      <c r="I1230" s="931"/>
      <c r="J1230" s="931"/>
      <c r="K1230" s="931"/>
      <c r="L1230" s="931"/>
      <c r="M1230" s="931"/>
      <c r="N1230" s="931"/>
      <c r="O1230" s="931"/>
      <c r="P1230" s="931"/>
      <c r="Q1230" s="931"/>
      <c r="R1230" s="931"/>
    </row>
    <row r="1231" spans="1:18" s="328" customFormat="1" ht="13.5" customHeight="1">
      <c r="A1231" s="331"/>
      <c r="B1231" s="331"/>
      <c r="C1231" s="332"/>
      <c r="D1231" s="331"/>
      <c r="E1231" s="333"/>
      <c r="F1231" s="271"/>
      <c r="G1231" s="931"/>
      <c r="H1231" s="931"/>
      <c r="I1231" s="931"/>
      <c r="J1231" s="931"/>
      <c r="K1231" s="931"/>
      <c r="L1231" s="931"/>
      <c r="M1231" s="931"/>
      <c r="N1231" s="931"/>
      <c r="O1231" s="931"/>
      <c r="P1231" s="931"/>
      <c r="Q1231" s="931"/>
      <c r="R1231" s="931"/>
    </row>
    <row r="1232" spans="1:18" s="328" customFormat="1" ht="13.5" customHeight="1">
      <c r="A1232" s="331"/>
      <c r="B1232" s="331"/>
      <c r="C1232" s="332"/>
      <c r="D1232" s="331"/>
      <c r="E1232" s="333"/>
      <c r="F1232" s="271"/>
      <c r="G1232" s="931"/>
      <c r="H1232" s="931"/>
      <c r="I1232" s="931"/>
      <c r="J1232" s="931"/>
      <c r="K1232" s="931"/>
      <c r="L1232" s="931"/>
      <c r="M1232" s="931"/>
      <c r="N1232" s="931"/>
      <c r="O1232" s="931"/>
      <c r="P1232" s="931"/>
      <c r="Q1232" s="931"/>
      <c r="R1232" s="931"/>
    </row>
    <row r="1233" spans="1:18" s="328" customFormat="1" ht="13.5" customHeight="1">
      <c r="A1233" s="331"/>
      <c r="B1233" s="331"/>
      <c r="C1233" s="332"/>
      <c r="D1233" s="331"/>
      <c r="E1233" s="333"/>
      <c r="F1233" s="271"/>
      <c r="G1233" s="931"/>
      <c r="H1233" s="931"/>
      <c r="I1233" s="931"/>
      <c r="J1233" s="931"/>
      <c r="K1233" s="931"/>
      <c r="L1233" s="931"/>
      <c r="M1233" s="931"/>
      <c r="N1233" s="931"/>
      <c r="O1233" s="931"/>
      <c r="P1233" s="931"/>
      <c r="Q1233" s="931"/>
      <c r="R1233" s="931"/>
    </row>
    <row r="1234" spans="1:18" s="328" customFormat="1" ht="13.5" customHeight="1">
      <c r="A1234" s="331"/>
      <c r="B1234" s="331"/>
      <c r="C1234" s="332"/>
      <c r="D1234" s="331"/>
      <c r="E1234" s="333"/>
      <c r="F1234" s="271"/>
      <c r="G1234" s="931"/>
      <c r="H1234" s="931"/>
      <c r="I1234" s="931"/>
      <c r="J1234" s="931"/>
      <c r="K1234" s="931"/>
      <c r="L1234" s="931"/>
      <c r="M1234" s="931"/>
      <c r="N1234" s="931"/>
      <c r="O1234" s="931"/>
      <c r="P1234" s="931"/>
      <c r="Q1234" s="931"/>
      <c r="R1234" s="931"/>
    </row>
    <row r="1235" spans="1:18" s="328" customFormat="1" ht="13.5" customHeight="1">
      <c r="A1235" s="331"/>
      <c r="B1235" s="331"/>
      <c r="C1235" s="332"/>
      <c r="D1235" s="331"/>
      <c r="E1235" s="333"/>
      <c r="F1235" s="271"/>
      <c r="G1235" s="931"/>
      <c r="H1235" s="931"/>
      <c r="I1235" s="931"/>
      <c r="J1235" s="931"/>
      <c r="K1235" s="931"/>
      <c r="L1235" s="931"/>
      <c r="M1235" s="931"/>
      <c r="N1235" s="931"/>
      <c r="O1235" s="931"/>
      <c r="P1235" s="931"/>
      <c r="Q1235" s="931"/>
      <c r="R1235" s="931"/>
    </row>
    <row r="1236" spans="1:18" s="328" customFormat="1" ht="13.5" customHeight="1">
      <c r="A1236" s="331"/>
      <c r="B1236" s="331"/>
      <c r="C1236" s="332"/>
      <c r="D1236" s="331"/>
      <c r="E1236" s="333"/>
      <c r="F1236" s="271"/>
      <c r="G1236" s="931"/>
      <c r="H1236" s="931"/>
      <c r="I1236" s="931"/>
      <c r="J1236" s="931"/>
      <c r="K1236" s="931"/>
      <c r="L1236" s="931"/>
      <c r="M1236" s="931"/>
      <c r="N1236" s="931"/>
      <c r="O1236" s="931"/>
      <c r="P1236" s="931"/>
      <c r="Q1236" s="931"/>
      <c r="R1236" s="931"/>
    </row>
    <row r="1237" spans="1:18" s="328" customFormat="1" ht="13.5" customHeight="1">
      <c r="A1237" s="331"/>
      <c r="B1237" s="331"/>
      <c r="C1237" s="332"/>
      <c r="D1237" s="331"/>
      <c r="E1237" s="333"/>
      <c r="F1237" s="271"/>
      <c r="G1237" s="931"/>
      <c r="H1237" s="931"/>
      <c r="I1237" s="931"/>
      <c r="J1237" s="931"/>
      <c r="K1237" s="931"/>
      <c r="L1237" s="931"/>
      <c r="M1237" s="931"/>
      <c r="N1237" s="931"/>
      <c r="O1237" s="931"/>
      <c r="P1237" s="931"/>
      <c r="Q1237" s="931"/>
      <c r="R1237" s="931"/>
    </row>
    <row r="1238" spans="1:18" s="328" customFormat="1" ht="13.5" customHeight="1">
      <c r="A1238" s="331"/>
      <c r="B1238" s="331"/>
      <c r="C1238" s="332"/>
      <c r="D1238" s="331"/>
      <c r="E1238" s="333"/>
      <c r="F1238" s="271"/>
      <c r="G1238" s="931"/>
      <c r="H1238" s="931"/>
      <c r="I1238" s="931"/>
      <c r="J1238" s="931"/>
      <c r="K1238" s="931"/>
      <c r="L1238" s="931"/>
      <c r="M1238" s="931"/>
      <c r="N1238" s="931"/>
      <c r="O1238" s="931"/>
      <c r="P1238" s="931"/>
      <c r="Q1238" s="931"/>
      <c r="R1238" s="931"/>
    </row>
    <row r="1239" spans="1:18" s="328" customFormat="1" ht="13.5" customHeight="1">
      <c r="A1239" s="331"/>
      <c r="B1239" s="331"/>
      <c r="C1239" s="332"/>
      <c r="D1239" s="331"/>
      <c r="E1239" s="333"/>
      <c r="F1239" s="271"/>
      <c r="G1239" s="931"/>
      <c r="H1239" s="931"/>
      <c r="I1239" s="931"/>
      <c r="J1239" s="931"/>
      <c r="K1239" s="931"/>
      <c r="L1239" s="931"/>
      <c r="M1239" s="931"/>
      <c r="N1239" s="931"/>
      <c r="O1239" s="931"/>
      <c r="P1239" s="931"/>
      <c r="Q1239" s="931"/>
      <c r="R1239" s="931"/>
    </row>
    <row r="1240" spans="1:18" s="328" customFormat="1" ht="13.5" customHeight="1">
      <c r="A1240" s="331"/>
      <c r="B1240" s="331"/>
      <c r="C1240" s="332"/>
      <c r="D1240" s="331"/>
      <c r="E1240" s="333"/>
      <c r="F1240" s="271"/>
      <c r="G1240" s="931"/>
      <c r="H1240" s="931"/>
      <c r="I1240" s="931"/>
      <c r="J1240" s="931"/>
      <c r="K1240" s="931"/>
      <c r="L1240" s="931"/>
      <c r="M1240" s="931"/>
      <c r="N1240" s="931"/>
      <c r="O1240" s="931"/>
      <c r="P1240" s="931"/>
      <c r="Q1240" s="931"/>
      <c r="R1240" s="931"/>
    </row>
    <row r="1241" spans="1:18" s="328" customFormat="1" ht="13.5" customHeight="1">
      <c r="A1241" s="331"/>
      <c r="B1241" s="331"/>
      <c r="C1241" s="332"/>
      <c r="D1241" s="331"/>
      <c r="E1241" s="333"/>
      <c r="F1241" s="271"/>
      <c r="G1241" s="931"/>
      <c r="H1241" s="931"/>
      <c r="I1241" s="931"/>
      <c r="J1241" s="931"/>
      <c r="K1241" s="931"/>
      <c r="L1241" s="931"/>
      <c r="M1241" s="931"/>
      <c r="N1241" s="931"/>
      <c r="O1241" s="931"/>
      <c r="P1241" s="931"/>
      <c r="Q1241" s="931"/>
      <c r="R1241" s="931"/>
    </row>
    <row r="1242" spans="1:18" s="328" customFormat="1" ht="13.5" customHeight="1">
      <c r="A1242" s="331"/>
      <c r="B1242" s="331"/>
      <c r="C1242" s="332"/>
      <c r="D1242" s="331"/>
      <c r="E1242" s="333"/>
      <c r="F1242" s="271"/>
      <c r="G1242" s="931"/>
      <c r="H1242" s="931"/>
      <c r="I1242" s="931"/>
      <c r="J1242" s="931"/>
      <c r="K1242" s="931"/>
      <c r="L1242" s="931"/>
      <c r="M1242" s="931"/>
      <c r="N1242" s="931"/>
      <c r="O1242" s="931"/>
      <c r="P1242" s="931"/>
      <c r="Q1242" s="931"/>
      <c r="R1242" s="931"/>
    </row>
    <row r="1243" spans="1:18" s="328" customFormat="1" ht="13.5" customHeight="1">
      <c r="A1243" s="331"/>
      <c r="B1243" s="331"/>
      <c r="C1243" s="332"/>
      <c r="D1243" s="331"/>
      <c r="E1243" s="333"/>
      <c r="F1243" s="271"/>
      <c r="G1243" s="931"/>
      <c r="H1243" s="931"/>
      <c r="I1243" s="931"/>
      <c r="J1243" s="931"/>
      <c r="K1243" s="931"/>
      <c r="L1243" s="931"/>
      <c r="M1243" s="931"/>
      <c r="N1243" s="931"/>
      <c r="O1243" s="931"/>
      <c r="P1243" s="931"/>
      <c r="Q1243" s="931"/>
      <c r="R1243" s="931"/>
    </row>
    <row r="1244" spans="1:18" s="328" customFormat="1" ht="13.5" customHeight="1">
      <c r="A1244" s="331"/>
      <c r="B1244" s="331"/>
      <c r="C1244" s="332"/>
      <c r="D1244" s="331"/>
      <c r="E1244" s="333"/>
      <c r="F1244" s="271"/>
      <c r="G1244" s="931"/>
      <c r="H1244" s="931"/>
      <c r="I1244" s="931"/>
      <c r="J1244" s="931"/>
      <c r="K1244" s="931"/>
      <c r="L1244" s="931"/>
      <c r="M1244" s="931"/>
      <c r="N1244" s="931"/>
      <c r="O1244" s="931"/>
      <c r="P1244" s="931"/>
      <c r="Q1244" s="931"/>
      <c r="R1244" s="931"/>
    </row>
    <row r="1245" spans="1:18" s="328" customFormat="1" ht="13.5" customHeight="1">
      <c r="A1245" s="331"/>
      <c r="B1245" s="331"/>
      <c r="C1245" s="332"/>
      <c r="D1245" s="331"/>
      <c r="E1245" s="333"/>
      <c r="F1245" s="271"/>
      <c r="G1245" s="931"/>
      <c r="H1245" s="931"/>
      <c r="I1245" s="931"/>
      <c r="J1245" s="931"/>
      <c r="K1245" s="931"/>
      <c r="L1245" s="931"/>
      <c r="M1245" s="931"/>
      <c r="N1245" s="931"/>
      <c r="O1245" s="931"/>
      <c r="P1245" s="931"/>
      <c r="Q1245" s="931"/>
      <c r="R1245" s="931"/>
    </row>
    <row r="1246" spans="1:18" s="328" customFormat="1" ht="13.5" customHeight="1">
      <c r="A1246" s="331"/>
      <c r="B1246" s="331"/>
      <c r="C1246" s="332"/>
      <c r="D1246" s="331"/>
      <c r="E1246" s="333"/>
      <c r="F1246" s="271"/>
      <c r="G1246" s="931"/>
      <c r="H1246" s="931"/>
      <c r="I1246" s="931"/>
      <c r="J1246" s="931"/>
      <c r="K1246" s="931"/>
      <c r="L1246" s="931"/>
      <c r="M1246" s="931"/>
      <c r="N1246" s="931"/>
      <c r="O1246" s="931"/>
      <c r="P1246" s="931"/>
      <c r="Q1246" s="931"/>
      <c r="R1246" s="931"/>
    </row>
    <row r="1247" spans="1:18" s="328" customFormat="1" ht="13.5" customHeight="1">
      <c r="A1247" s="331"/>
      <c r="B1247" s="331"/>
      <c r="C1247" s="332"/>
      <c r="D1247" s="331"/>
      <c r="E1247" s="333"/>
      <c r="F1247" s="271"/>
      <c r="G1247" s="931"/>
      <c r="H1247" s="931"/>
      <c r="I1247" s="931"/>
      <c r="J1247" s="931"/>
      <c r="K1247" s="931"/>
      <c r="L1247" s="931"/>
      <c r="M1247" s="931"/>
      <c r="N1247" s="931"/>
      <c r="O1247" s="931"/>
      <c r="P1247" s="931"/>
      <c r="Q1247" s="931"/>
      <c r="R1247" s="931"/>
    </row>
    <row r="1248" spans="1:18" s="328" customFormat="1" ht="13.5" customHeight="1">
      <c r="A1248" s="331"/>
      <c r="B1248" s="331"/>
      <c r="C1248" s="332"/>
      <c r="D1248" s="331"/>
      <c r="E1248" s="333"/>
      <c r="F1248" s="271"/>
      <c r="G1248" s="931"/>
      <c r="H1248" s="931"/>
      <c r="I1248" s="931"/>
      <c r="J1248" s="931"/>
      <c r="K1248" s="931"/>
      <c r="L1248" s="931"/>
      <c r="M1248" s="931"/>
      <c r="N1248" s="931"/>
      <c r="O1248" s="931"/>
      <c r="P1248" s="931"/>
      <c r="Q1248" s="931"/>
      <c r="R1248" s="931"/>
    </row>
    <row r="1249" spans="1:18" s="328" customFormat="1" ht="13.5" customHeight="1">
      <c r="A1249" s="331"/>
      <c r="B1249" s="331"/>
      <c r="C1249" s="332"/>
      <c r="D1249" s="331"/>
      <c r="E1249" s="333"/>
      <c r="F1249" s="271"/>
      <c r="G1249" s="931"/>
      <c r="H1249" s="931"/>
      <c r="I1249" s="931"/>
      <c r="J1249" s="931"/>
      <c r="K1249" s="931"/>
      <c r="L1249" s="931"/>
      <c r="M1249" s="931"/>
      <c r="N1249" s="931"/>
      <c r="O1249" s="931"/>
      <c r="P1249" s="931"/>
      <c r="Q1249" s="931"/>
      <c r="R1249" s="931"/>
    </row>
    <row r="1250" spans="1:18" s="328" customFormat="1" ht="13.5" customHeight="1">
      <c r="A1250" s="331"/>
      <c r="B1250" s="331"/>
      <c r="C1250" s="332"/>
      <c r="D1250" s="331"/>
      <c r="E1250" s="333"/>
      <c r="F1250" s="271"/>
      <c r="G1250" s="931"/>
      <c r="H1250" s="931"/>
      <c r="I1250" s="931"/>
      <c r="J1250" s="931"/>
      <c r="K1250" s="931"/>
      <c r="L1250" s="931"/>
      <c r="M1250" s="931"/>
      <c r="N1250" s="931"/>
      <c r="O1250" s="931"/>
      <c r="P1250" s="931"/>
      <c r="Q1250" s="931"/>
      <c r="R1250" s="931"/>
    </row>
    <row r="1251" spans="1:18" s="328" customFormat="1" ht="13.5" customHeight="1">
      <c r="A1251" s="331"/>
      <c r="B1251" s="331"/>
      <c r="C1251" s="332"/>
      <c r="D1251" s="331"/>
      <c r="E1251" s="333"/>
      <c r="F1251" s="271"/>
      <c r="G1251" s="931"/>
      <c r="H1251" s="931"/>
      <c r="I1251" s="931"/>
      <c r="J1251" s="931"/>
      <c r="K1251" s="931"/>
      <c r="L1251" s="931"/>
      <c r="M1251" s="931"/>
      <c r="N1251" s="931"/>
      <c r="O1251" s="931"/>
      <c r="P1251" s="931"/>
      <c r="Q1251" s="931"/>
      <c r="R1251" s="931"/>
    </row>
    <row r="1252" spans="1:18" s="328" customFormat="1" ht="13.5" customHeight="1">
      <c r="A1252" s="331"/>
      <c r="B1252" s="331"/>
      <c r="C1252" s="332"/>
      <c r="D1252" s="331"/>
      <c r="E1252" s="333"/>
      <c r="F1252" s="271"/>
      <c r="G1252" s="931"/>
      <c r="H1252" s="931"/>
      <c r="I1252" s="931"/>
      <c r="J1252" s="931"/>
      <c r="K1252" s="931"/>
      <c r="L1252" s="931"/>
      <c r="M1252" s="931"/>
      <c r="N1252" s="931"/>
      <c r="O1252" s="931"/>
      <c r="P1252" s="931"/>
      <c r="Q1252" s="931"/>
      <c r="R1252" s="931"/>
    </row>
    <row r="1253" spans="1:18" s="328" customFormat="1" ht="13.5" customHeight="1">
      <c r="A1253" s="331"/>
      <c r="B1253" s="331"/>
      <c r="C1253" s="332"/>
      <c r="D1253" s="331"/>
      <c r="E1253" s="333"/>
      <c r="F1253" s="271"/>
      <c r="G1253" s="931"/>
      <c r="H1253" s="931"/>
      <c r="I1253" s="931"/>
      <c r="J1253" s="931"/>
      <c r="K1253" s="931"/>
      <c r="L1253" s="931"/>
      <c r="M1253" s="931"/>
      <c r="N1253" s="931"/>
      <c r="O1253" s="931"/>
      <c r="P1253" s="931"/>
      <c r="Q1253" s="931"/>
      <c r="R1253" s="931"/>
    </row>
    <row r="1254" spans="1:18" s="328" customFormat="1" ht="13.5" customHeight="1">
      <c r="A1254" s="331"/>
      <c r="B1254" s="331"/>
      <c r="C1254" s="332"/>
      <c r="D1254" s="331"/>
      <c r="E1254" s="333"/>
      <c r="F1254" s="271"/>
      <c r="G1254" s="931"/>
      <c r="H1254" s="931"/>
      <c r="I1254" s="931"/>
      <c r="J1254" s="931"/>
      <c r="K1254" s="931"/>
      <c r="L1254" s="931"/>
      <c r="M1254" s="931"/>
      <c r="N1254" s="931"/>
      <c r="O1254" s="931"/>
      <c r="P1254" s="931"/>
      <c r="Q1254" s="931"/>
      <c r="R1254" s="931"/>
    </row>
    <row r="1255" spans="1:18" s="328" customFormat="1" ht="13.5" customHeight="1">
      <c r="A1255" s="331"/>
      <c r="B1255" s="331"/>
      <c r="C1255" s="332"/>
      <c r="D1255" s="331"/>
      <c r="E1255" s="333"/>
      <c r="F1255" s="271"/>
      <c r="G1255" s="931"/>
      <c r="H1255" s="931"/>
      <c r="I1255" s="931"/>
      <c r="J1255" s="931"/>
      <c r="K1255" s="931"/>
      <c r="L1255" s="931"/>
      <c r="M1255" s="931"/>
      <c r="N1255" s="931"/>
      <c r="O1255" s="931"/>
      <c r="P1255" s="931"/>
      <c r="Q1255" s="931"/>
      <c r="R1255" s="931"/>
    </row>
    <row r="1256" spans="1:18" s="328" customFormat="1" ht="13.5" customHeight="1">
      <c r="A1256" s="331"/>
      <c r="B1256" s="331"/>
      <c r="C1256" s="332"/>
      <c r="D1256" s="331"/>
      <c r="E1256" s="333"/>
      <c r="F1256" s="271"/>
      <c r="G1256" s="931"/>
      <c r="H1256" s="931"/>
      <c r="I1256" s="931"/>
      <c r="J1256" s="931"/>
      <c r="K1256" s="931"/>
      <c r="L1256" s="931"/>
      <c r="M1256" s="931"/>
      <c r="N1256" s="931"/>
      <c r="O1256" s="931"/>
      <c r="P1256" s="931"/>
      <c r="Q1256" s="931"/>
      <c r="R1256" s="931"/>
    </row>
    <row r="1257" spans="1:18" s="328" customFormat="1" ht="13.5" customHeight="1">
      <c r="A1257" s="331"/>
      <c r="B1257" s="331"/>
      <c r="C1257" s="332"/>
      <c r="D1257" s="331"/>
      <c r="E1257" s="333"/>
      <c r="F1257" s="271"/>
      <c r="G1257" s="931"/>
      <c r="H1257" s="931"/>
      <c r="I1257" s="931"/>
      <c r="J1257" s="931"/>
      <c r="K1257" s="931"/>
      <c r="L1257" s="931"/>
      <c r="M1257" s="931"/>
      <c r="N1257" s="931"/>
      <c r="O1257" s="931"/>
      <c r="P1257" s="931"/>
      <c r="Q1257" s="931"/>
      <c r="R1257" s="931"/>
    </row>
    <row r="1258" spans="1:18" s="328" customFormat="1" ht="13.5" customHeight="1">
      <c r="A1258" s="331"/>
      <c r="B1258" s="331"/>
      <c r="C1258" s="332"/>
      <c r="D1258" s="331"/>
      <c r="E1258" s="333"/>
      <c r="F1258" s="271"/>
      <c r="G1258" s="931"/>
      <c r="H1258" s="931"/>
      <c r="I1258" s="931"/>
      <c r="J1258" s="931"/>
      <c r="K1258" s="931"/>
      <c r="L1258" s="931"/>
      <c r="M1258" s="931"/>
      <c r="N1258" s="931"/>
      <c r="O1258" s="931"/>
      <c r="P1258" s="931"/>
      <c r="Q1258" s="931"/>
      <c r="R1258" s="931"/>
    </row>
    <row r="1259" spans="1:18" s="328" customFormat="1" ht="13.5" customHeight="1">
      <c r="A1259" s="331"/>
      <c r="B1259" s="331"/>
      <c r="C1259" s="332"/>
      <c r="D1259" s="331"/>
      <c r="E1259" s="333"/>
      <c r="F1259" s="271"/>
      <c r="G1259" s="931"/>
      <c r="H1259" s="931"/>
      <c r="I1259" s="931"/>
      <c r="J1259" s="931"/>
      <c r="K1259" s="931"/>
      <c r="L1259" s="931"/>
      <c r="M1259" s="931"/>
      <c r="N1259" s="931"/>
      <c r="O1259" s="931"/>
      <c r="P1259" s="931"/>
      <c r="Q1259" s="931"/>
      <c r="R1259" s="931"/>
    </row>
    <row r="1260" spans="1:18" s="328" customFormat="1" ht="13.5" customHeight="1">
      <c r="A1260" s="331"/>
      <c r="B1260" s="331"/>
      <c r="C1260" s="332"/>
      <c r="D1260" s="331"/>
      <c r="E1260" s="333"/>
      <c r="F1260" s="271"/>
      <c r="G1260" s="931"/>
      <c r="H1260" s="931"/>
      <c r="I1260" s="931"/>
      <c r="J1260" s="931"/>
      <c r="K1260" s="931"/>
      <c r="L1260" s="931"/>
      <c r="M1260" s="931"/>
      <c r="N1260" s="931"/>
      <c r="O1260" s="931"/>
      <c r="P1260" s="931"/>
      <c r="Q1260" s="931"/>
      <c r="R1260" s="931"/>
    </row>
    <row r="1261" spans="1:18" s="328" customFormat="1" ht="13.5" customHeight="1">
      <c r="A1261" s="331"/>
      <c r="B1261" s="331"/>
      <c r="C1261" s="332"/>
      <c r="D1261" s="331"/>
      <c r="E1261" s="333"/>
      <c r="F1261" s="271"/>
      <c r="G1261" s="931"/>
      <c r="H1261" s="931"/>
      <c r="I1261" s="931"/>
      <c r="J1261" s="931"/>
      <c r="K1261" s="931"/>
      <c r="L1261" s="931"/>
      <c r="M1261" s="931"/>
      <c r="N1261" s="931"/>
      <c r="O1261" s="931"/>
      <c r="P1261" s="931"/>
      <c r="Q1261" s="931"/>
      <c r="R1261" s="931"/>
    </row>
    <row r="1262" spans="1:18" s="328" customFormat="1" ht="13.5" customHeight="1">
      <c r="A1262" s="331"/>
      <c r="B1262" s="331"/>
      <c r="C1262" s="332"/>
      <c r="D1262" s="331"/>
      <c r="E1262" s="333"/>
      <c r="F1262" s="271"/>
      <c r="G1262" s="931"/>
      <c r="H1262" s="931"/>
      <c r="I1262" s="931"/>
      <c r="J1262" s="931"/>
      <c r="K1262" s="931"/>
      <c r="L1262" s="931"/>
      <c r="M1262" s="931"/>
      <c r="N1262" s="931"/>
      <c r="O1262" s="931"/>
      <c r="P1262" s="931"/>
      <c r="Q1262" s="931"/>
      <c r="R1262" s="931"/>
    </row>
    <row r="1263" spans="1:18" s="328" customFormat="1" ht="13.5" customHeight="1">
      <c r="A1263" s="331"/>
      <c r="B1263" s="331"/>
      <c r="C1263" s="332"/>
      <c r="D1263" s="331"/>
      <c r="E1263" s="333"/>
      <c r="F1263" s="271"/>
      <c r="G1263" s="931"/>
      <c r="H1263" s="931"/>
      <c r="I1263" s="931"/>
      <c r="J1263" s="931"/>
      <c r="K1263" s="931"/>
      <c r="L1263" s="931"/>
      <c r="M1263" s="931"/>
      <c r="N1263" s="931"/>
      <c r="O1263" s="931"/>
      <c r="P1263" s="931"/>
      <c r="Q1263" s="931"/>
      <c r="R1263" s="931"/>
    </row>
    <row r="1264" spans="1:18" s="328" customFormat="1" ht="13.5" customHeight="1">
      <c r="A1264" s="331"/>
      <c r="B1264" s="331"/>
      <c r="C1264" s="332"/>
      <c r="D1264" s="331"/>
      <c r="E1264" s="333"/>
      <c r="F1264" s="271"/>
      <c r="G1264" s="931"/>
      <c r="H1264" s="931"/>
      <c r="I1264" s="931"/>
      <c r="J1264" s="931"/>
      <c r="K1264" s="931"/>
      <c r="L1264" s="931"/>
      <c r="M1264" s="931"/>
      <c r="N1264" s="931"/>
      <c r="O1264" s="931"/>
      <c r="P1264" s="931"/>
      <c r="Q1264" s="931"/>
      <c r="R1264" s="931"/>
    </row>
    <row r="1265" spans="1:18" s="328" customFormat="1" ht="13.5" customHeight="1">
      <c r="A1265" s="331"/>
      <c r="B1265" s="331"/>
      <c r="C1265" s="332"/>
      <c r="D1265" s="331"/>
      <c r="E1265" s="333"/>
      <c r="F1265" s="271"/>
      <c r="G1265" s="931"/>
      <c r="H1265" s="931"/>
      <c r="I1265" s="931"/>
      <c r="J1265" s="931"/>
      <c r="K1265" s="931"/>
      <c r="L1265" s="931"/>
      <c r="M1265" s="931"/>
      <c r="N1265" s="931"/>
      <c r="O1265" s="931"/>
      <c r="P1265" s="931"/>
      <c r="Q1265" s="931"/>
      <c r="R1265" s="931"/>
    </row>
    <row r="1266" spans="1:18" s="328" customFormat="1" ht="13.5" customHeight="1">
      <c r="A1266" s="331"/>
      <c r="B1266" s="331"/>
      <c r="C1266" s="332"/>
      <c r="D1266" s="331"/>
      <c r="E1266" s="333"/>
      <c r="F1266" s="271"/>
      <c r="G1266" s="931"/>
      <c r="H1266" s="931"/>
      <c r="I1266" s="931"/>
      <c r="J1266" s="931"/>
      <c r="K1266" s="931"/>
      <c r="L1266" s="931"/>
      <c r="M1266" s="931"/>
      <c r="N1266" s="931"/>
      <c r="O1266" s="931"/>
      <c r="P1266" s="931"/>
      <c r="Q1266" s="931"/>
      <c r="R1266" s="931"/>
    </row>
    <row r="1267" spans="1:18" s="328" customFormat="1" ht="13.5" customHeight="1">
      <c r="A1267" s="331"/>
      <c r="B1267" s="331"/>
      <c r="C1267" s="332"/>
      <c r="D1267" s="331"/>
      <c r="E1267" s="333"/>
      <c r="F1267" s="271"/>
      <c r="G1267" s="931"/>
      <c r="H1267" s="931"/>
      <c r="I1267" s="931"/>
      <c r="J1267" s="931"/>
      <c r="K1267" s="931"/>
      <c r="L1267" s="931"/>
      <c r="M1267" s="931"/>
      <c r="N1267" s="931"/>
      <c r="O1267" s="931"/>
      <c r="P1267" s="931"/>
      <c r="Q1267" s="931"/>
      <c r="R1267" s="931"/>
    </row>
    <row r="1268" spans="1:18" s="328" customFormat="1" ht="13.5" customHeight="1">
      <c r="A1268" s="331"/>
      <c r="B1268" s="331"/>
      <c r="C1268" s="332"/>
      <c r="D1268" s="331"/>
      <c r="E1268" s="333"/>
      <c r="F1268" s="271"/>
      <c r="G1268" s="931"/>
      <c r="H1268" s="931"/>
      <c r="I1268" s="931"/>
      <c r="J1268" s="931"/>
      <c r="K1268" s="931"/>
      <c r="L1268" s="931"/>
      <c r="M1268" s="931"/>
      <c r="N1268" s="931"/>
      <c r="O1268" s="931"/>
      <c r="P1268" s="931"/>
      <c r="Q1268" s="931"/>
      <c r="R1268" s="931"/>
    </row>
    <row r="1269" spans="1:18" s="328" customFormat="1" ht="13.5" customHeight="1">
      <c r="A1269" s="331"/>
      <c r="B1269" s="331"/>
      <c r="C1269" s="332"/>
      <c r="D1269" s="331"/>
      <c r="E1269" s="333"/>
      <c r="F1269" s="271"/>
      <c r="G1269" s="931"/>
      <c r="H1269" s="931"/>
      <c r="I1269" s="931"/>
      <c r="J1269" s="931"/>
      <c r="K1269" s="931"/>
      <c r="L1269" s="931"/>
      <c r="M1269" s="931"/>
      <c r="N1269" s="931"/>
      <c r="O1269" s="931"/>
      <c r="P1269" s="931"/>
      <c r="Q1269" s="931"/>
      <c r="R1269" s="931"/>
    </row>
    <row r="1270" spans="1:18" s="328" customFormat="1" ht="13.5" customHeight="1">
      <c r="A1270" s="331"/>
      <c r="B1270" s="331"/>
      <c r="C1270" s="332"/>
      <c r="D1270" s="331"/>
      <c r="E1270" s="333"/>
      <c r="F1270" s="271"/>
      <c r="G1270" s="931"/>
      <c r="H1270" s="931"/>
      <c r="I1270" s="931"/>
      <c r="J1270" s="931"/>
      <c r="K1270" s="931"/>
      <c r="L1270" s="931"/>
      <c r="M1270" s="931"/>
      <c r="N1270" s="931"/>
      <c r="O1270" s="931"/>
      <c r="P1270" s="931"/>
      <c r="Q1270" s="931"/>
      <c r="R1270" s="931"/>
    </row>
    <row r="1271" spans="1:18" s="328" customFormat="1" ht="13.5" customHeight="1">
      <c r="A1271" s="331"/>
      <c r="B1271" s="331"/>
      <c r="C1271" s="332"/>
      <c r="D1271" s="331"/>
      <c r="E1271" s="333"/>
      <c r="F1271" s="271"/>
      <c r="G1271" s="931"/>
      <c r="H1271" s="931"/>
      <c r="I1271" s="931"/>
      <c r="J1271" s="931"/>
      <c r="K1271" s="931"/>
      <c r="L1271" s="931"/>
      <c r="M1271" s="931"/>
      <c r="N1271" s="931"/>
      <c r="O1271" s="931"/>
      <c r="P1271" s="931"/>
      <c r="Q1271" s="931"/>
      <c r="R1271" s="931"/>
    </row>
    <row r="1272" spans="1:18" s="328" customFormat="1" ht="13.5" customHeight="1">
      <c r="A1272" s="331"/>
      <c r="B1272" s="331"/>
      <c r="C1272" s="332"/>
      <c r="D1272" s="331"/>
      <c r="E1272" s="333"/>
      <c r="F1272" s="271"/>
      <c r="G1272" s="931"/>
      <c r="H1272" s="931"/>
      <c r="I1272" s="931"/>
      <c r="J1272" s="931"/>
      <c r="K1272" s="931"/>
      <c r="L1272" s="931"/>
      <c r="M1272" s="931"/>
      <c r="N1272" s="931"/>
      <c r="O1272" s="931"/>
      <c r="P1272" s="931"/>
      <c r="Q1272" s="931"/>
      <c r="R1272" s="931"/>
    </row>
    <row r="1273" spans="1:18" s="328" customFormat="1" ht="13.5" customHeight="1">
      <c r="A1273" s="331"/>
      <c r="B1273" s="331"/>
      <c r="C1273" s="332"/>
      <c r="D1273" s="331"/>
      <c r="E1273" s="333"/>
      <c r="F1273" s="271"/>
      <c r="G1273" s="931"/>
      <c r="H1273" s="931"/>
      <c r="I1273" s="931"/>
      <c r="J1273" s="931"/>
      <c r="K1273" s="931"/>
      <c r="L1273" s="931"/>
      <c r="M1273" s="931"/>
      <c r="N1273" s="931"/>
      <c r="O1273" s="931"/>
      <c r="P1273" s="931"/>
      <c r="Q1273" s="931"/>
      <c r="R1273" s="931"/>
    </row>
    <row r="1274" spans="1:18" s="328" customFormat="1" ht="13.5" customHeight="1">
      <c r="A1274" s="331"/>
      <c r="B1274" s="331"/>
      <c r="C1274" s="332"/>
      <c r="D1274" s="331"/>
      <c r="E1274" s="333"/>
      <c r="F1274" s="271"/>
      <c r="G1274" s="931"/>
      <c r="H1274" s="931"/>
      <c r="I1274" s="931"/>
      <c r="J1274" s="931"/>
      <c r="K1274" s="931"/>
      <c r="L1274" s="931"/>
      <c r="M1274" s="931"/>
      <c r="N1274" s="931"/>
      <c r="O1274" s="931"/>
      <c r="P1274" s="931"/>
      <c r="Q1274" s="931"/>
      <c r="R1274" s="931"/>
    </row>
    <row r="1275" spans="1:18" s="328" customFormat="1" ht="13.5" customHeight="1">
      <c r="A1275" s="331"/>
      <c r="B1275" s="331"/>
      <c r="C1275" s="332"/>
      <c r="D1275" s="331"/>
      <c r="E1275" s="333"/>
      <c r="F1275" s="271"/>
      <c r="G1275" s="931"/>
      <c r="H1275" s="931"/>
      <c r="I1275" s="931"/>
      <c r="J1275" s="931"/>
      <c r="K1275" s="931"/>
      <c r="L1275" s="931"/>
      <c r="M1275" s="931"/>
      <c r="N1275" s="931"/>
      <c r="O1275" s="931"/>
      <c r="P1275" s="931"/>
      <c r="Q1275" s="931"/>
      <c r="R1275" s="931"/>
    </row>
    <row r="1276" spans="1:18" s="328" customFormat="1" ht="13.5" customHeight="1">
      <c r="A1276" s="331"/>
      <c r="B1276" s="331"/>
      <c r="C1276" s="332"/>
      <c r="D1276" s="331"/>
      <c r="E1276" s="333"/>
      <c r="F1276" s="271"/>
      <c r="G1276" s="931"/>
      <c r="H1276" s="931"/>
      <c r="I1276" s="931"/>
      <c r="J1276" s="931"/>
      <c r="K1276" s="931"/>
      <c r="L1276" s="931"/>
      <c r="M1276" s="931"/>
      <c r="N1276" s="931"/>
      <c r="O1276" s="931"/>
      <c r="P1276" s="931"/>
      <c r="Q1276" s="931"/>
      <c r="R1276" s="931"/>
    </row>
    <row r="1277" spans="1:18" s="328" customFormat="1" ht="13.5" customHeight="1">
      <c r="A1277" s="331"/>
      <c r="B1277" s="331"/>
      <c r="C1277" s="332"/>
      <c r="D1277" s="331"/>
      <c r="E1277" s="333"/>
      <c r="F1277" s="271"/>
      <c r="G1277" s="931"/>
      <c r="H1277" s="931"/>
      <c r="I1277" s="931"/>
      <c r="J1277" s="931"/>
      <c r="K1277" s="931"/>
      <c r="L1277" s="931"/>
      <c r="M1277" s="931"/>
      <c r="N1277" s="931"/>
      <c r="O1277" s="931"/>
      <c r="P1277" s="931"/>
      <c r="Q1277" s="931"/>
      <c r="R1277" s="931"/>
    </row>
    <row r="1278" spans="1:18" s="328" customFormat="1" ht="13.5" customHeight="1">
      <c r="A1278" s="331"/>
      <c r="B1278" s="331"/>
      <c r="C1278" s="332"/>
      <c r="D1278" s="331"/>
      <c r="E1278" s="333"/>
      <c r="F1278" s="271"/>
      <c r="G1278" s="931"/>
      <c r="H1278" s="931"/>
      <c r="I1278" s="931"/>
      <c r="J1278" s="931"/>
      <c r="K1278" s="931"/>
      <c r="L1278" s="931"/>
      <c r="M1278" s="931"/>
      <c r="N1278" s="931"/>
      <c r="O1278" s="931"/>
      <c r="P1278" s="931"/>
      <c r="Q1278" s="931"/>
      <c r="R1278" s="931"/>
    </row>
    <row r="1279" spans="1:18" s="328" customFormat="1" ht="13.5" customHeight="1">
      <c r="A1279" s="331"/>
      <c r="B1279" s="331"/>
      <c r="C1279" s="332"/>
      <c r="D1279" s="331"/>
      <c r="E1279" s="333"/>
      <c r="F1279" s="271"/>
      <c r="G1279" s="931"/>
      <c r="H1279" s="931"/>
      <c r="I1279" s="931"/>
      <c r="J1279" s="931"/>
      <c r="K1279" s="931"/>
      <c r="L1279" s="931"/>
      <c r="M1279" s="931"/>
      <c r="N1279" s="931"/>
      <c r="O1279" s="931"/>
      <c r="P1279" s="931"/>
      <c r="Q1279" s="931"/>
      <c r="R1279" s="931"/>
    </row>
    <row r="1280" spans="1:18" s="328" customFormat="1" ht="13.5" customHeight="1">
      <c r="A1280" s="331"/>
      <c r="B1280" s="331"/>
      <c r="C1280" s="332"/>
      <c r="D1280" s="331"/>
      <c r="E1280" s="333"/>
      <c r="F1280" s="271"/>
      <c r="G1280" s="931"/>
      <c r="H1280" s="931"/>
      <c r="I1280" s="931"/>
      <c r="J1280" s="931"/>
      <c r="K1280" s="931"/>
      <c r="L1280" s="931"/>
      <c r="M1280" s="931"/>
      <c r="N1280" s="931"/>
      <c r="O1280" s="931"/>
      <c r="P1280" s="931"/>
      <c r="Q1280" s="931"/>
      <c r="R1280" s="931"/>
    </row>
    <row r="1281" spans="1:18" s="328" customFormat="1" ht="13.5" customHeight="1">
      <c r="A1281" s="331"/>
      <c r="B1281" s="331"/>
      <c r="C1281" s="332"/>
      <c r="D1281" s="331"/>
      <c r="E1281" s="333"/>
      <c r="F1281" s="271"/>
      <c r="G1281" s="931"/>
      <c r="H1281" s="931"/>
      <c r="I1281" s="931"/>
      <c r="J1281" s="931"/>
      <c r="K1281" s="931"/>
      <c r="L1281" s="931"/>
      <c r="M1281" s="931"/>
      <c r="N1281" s="931"/>
      <c r="O1281" s="931"/>
      <c r="P1281" s="931"/>
      <c r="Q1281" s="931"/>
      <c r="R1281" s="931"/>
    </row>
    <row r="1282" spans="1:18" s="328" customFormat="1" ht="13.5" customHeight="1">
      <c r="A1282" s="331"/>
      <c r="B1282" s="331"/>
      <c r="C1282" s="332"/>
      <c r="D1282" s="331"/>
      <c r="E1282" s="333"/>
      <c r="F1282" s="271"/>
      <c r="G1282" s="931"/>
      <c r="H1282" s="931"/>
      <c r="I1282" s="931"/>
      <c r="J1282" s="931"/>
      <c r="K1282" s="931"/>
      <c r="L1282" s="931"/>
      <c r="M1282" s="931"/>
      <c r="N1282" s="931"/>
      <c r="O1282" s="931"/>
      <c r="P1282" s="931"/>
      <c r="Q1282" s="931"/>
      <c r="R1282" s="931"/>
    </row>
    <row r="1283" spans="1:18" s="328" customFormat="1" ht="13.5" customHeight="1">
      <c r="A1283" s="331"/>
      <c r="B1283" s="331"/>
      <c r="C1283" s="332"/>
      <c r="D1283" s="331"/>
      <c r="E1283" s="333"/>
      <c r="F1283" s="271"/>
      <c r="G1283" s="931"/>
      <c r="H1283" s="931"/>
      <c r="I1283" s="931"/>
      <c r="J1283" s="931"/>
      <c r="K1283" s="931"/>
      <c r="L1283" s="931"/>
      <c r="M1283" s="931"/>
      <c r="N1283" s="931"/>
      <c r="O1283" s="931"/>
      <c r="P1283" s="931"/>
      <c r="Q1283" s="931"/>
      <c r="R1283" s="931"/>
    </row>
    <row r="1284" spans="1:18" s="328" customFormat="1" ht="13.5" customHeight="1">
      <c r="A1284" s="331"/>
      <c r="B1284" s="331"/>
      <c r="C1284" s="332"/>
      <c r="D1284" s="331"/>
      <c r="E1284" s="333"/>
      <c r="F1284" s="271"/>
      <c r="G1284" s="931"/>
      <c r="H1284" s="931"/>
      <c r="I1284" s="931"/>
      <c r="J1284" s="931"/>
      <c r="K1284" s="931"/>
      <c r="L1284" s="931"/>
      <c r="M1284" s="931"/>
      <c r="N1284" s="931"/>
      <c r="O1284" s="931"/>
      <c r="P1284" s="931"/>
      <c r="Q1284" s="931"/>
      <c r="R1284" s="931"/>
    </row>
    <row r="1285" spans="1:18" s="328" customFormat="1" ht="13.5" customHeight="1">
      <c r="A1285" s="331"/>
      <c r="B1285" s="331"/>
      <c r="C1285" s="332"/>
      <c r="D1285" s="331"/>
      <c r="E1285" s="333"/>
      <c r="F1285" s="271"/>
      <c r="G1285" s="931"/>
      <c r="H1285" s="931"/>
      <c r="I1285" s="931"/>
      <c r="J1285" s="931"/>
      <c r="K1285" s="931"/>
      <c r="L1285" s="931"/>
      <c r="M1285" s="931"/>
      <c r="N1285" s="931"/>
      <c r="O1285" s="931"/>
      <c r="P1285" s="931"/>
      <c r="Q1285" s="931"/>
      <c r="R1285" s="931"/>
    </row>
    <row r="1286" spans="1:18" s="328" customFormat="1" ht="13.5" customHeight="1">
      <c r="A1286" s="331"/>
      <c r="B1286" s="331"/>
      <c r="C1286" s="332"/>
      <c r="D1286" s="331"/>
      <c r="E1286" s="333"/>
      <c r="F1286" s="271"/>
      <c r="G1286" s="931"/>
      <c r="H1286" s="931"/>
      <c r="I1286" s="931"/>
      <c r="J1286" s="931"/>
      <c r="K1286" s="931"/>
      <c r="L1286" s="931"/>
      <c r="M1286" s="931"/>
      <c r="N1286" s="931"/>
      <c r="O1286" s="931"/>
      <c r="P1286" s="931"/>
      <c r="Q1286" s="931"/>
      <c r="R1286" s="931"/>
    </row>
    <row r="1287" spans="1:18" s="328" customFormat="1" ht="13.5" customHeight="1">
      <c r="A1287" s="331"/>
      <c r="B1287" s="331"/>
      <c r="C1287" s="332"/>
      <c r="D1287" s="331"/>
      <c r="E1287" s="333"/>
      <c r="F1287" s="271"/>
      <c r="G1287" s="931"/>
      <c r="H1287" s="931"/>
      <c r="I1287" s="931"/>
      <c r="J1287" s="931"/>
      <c r="K1287" s="931"/>
      <c r="L1287" s="931"/>
      <c r="M1287" s="931"/>
      <c r="N1287" s="931"/>
      <c r="O1287" s="931"/>
      <c r="P1287" s="931"/>
      <c r="Q1287" s="931"/>
      <c r="R1287" s="931"/>
    </row>
    <row r="1288" spans="1:18" s="328" customFormat="1" ht="13.5" customHeight="1">
      <c r="A1288" s="331"/>
      <c r="B1288" s="331"/>
      <c r="C1288" s="332"/>
      <c r="D1288" s="331"/>
      <c r="E1288" s="333"/>
      <c r="F1288" s="271"/>
      <c r="G1288" s="931"/>
      <c r="H1288" s="931"/>
      <c r="I1288" s="931"/>
      <c r="J1288" s="931"/>
      <c r="K1288" s="931"/>
      <c r="L1288" s="931"/>
      <c r="M1288" s="931"/>
      <c r="N1288" s="931"/>
      <c r="O1288" s="931"/>
      <c r="P1288" s="931"/>
      <c r="Q1288" s="931"/>
      <c r="R1288" s="931"/>
    </row>
    <row r="1289" spans="1:18" s="328" customFormat="1" ht="13.5" customHeight="1">
      <c r="A1289" s="331"/>
      <c r="B1289" s="331"/>
      <c r="C1289" s="332"/>
      <c r="D1289" s="331"/>
      <c r="E1289" s="333"/>
      <c r="F1289" s="271"/>
      <c r="G1289" s="931"/>
      <c r="H1289" s="931"/>
      <c r="I1289" s="931"/>
      <c r="J1289" s="931"/>
      <c r="K1289" s="931"/>
      <c r="L1289" s="931"/>
      <c r="M1289" s="931"/>
      <c r="N1289" s="931"/>
      <c r="O1289" s="931"/>
      <c r="P1289" s="931"/>
      <c r="Q1289" s="931"/>
      <c r="R1289" s="931"/>
    </row>
    <row r="1290" spans="1:18" s="328" customFormat="1" ht="13.5" customHeight="1">
      <c r="A1290" s="331"/>
      <c r="B1290" s="331"/>
      <c r="C1290" s="332"/>
      <c r="D1290" s="331"/>
      <c r="E1290" s="333"/>
      <c r="F1290" s="271"/>
      <c r="G1290" s="931"/>
      <c r="H1290" s="931"/>
      <c r="I1290" s="931"/>
      <c r="J1290" s="931"/>
      <c r="K1290" s="931"/>
      <c r="L1290" s="931"/>
      <c r="M1290" s="931"/>
      <c r="N1290" s="931"/>
      <c r="O1290" s="931"/>
      <c r="P1290" s="931"/>
      <c r="Q1290" s="931"/>
      <c r="R1290" s="931"/>
    </row>
    <row r="1291" spans="1:18" s="328" customFormat="1" ht="13.5" customHeight="1">
      <c r="A1291" s="331"/>
      <c r="B1291" s="331"/>
      <c r="C1291" s="332"/>
      <c r="D1291" s="331"/>
      <c r="E1291" s="333"/>
      <c r="F1291" s="271"/>
      <c r="G1291" s="931"/>
      <c r="H1291" s="931"/>
      <c r="I1291" s="931"/>
      <c r="J1291" s="931"/>
      <c r="K1291" s="931"/>
      <c r="L1291" s="931"/>
      <c r="M1291" s="931"/>
      <c r="N1291" s="931"/>
      <c r="O1291" s="931"/>
      <c r="P1291" s="931"/>
      <c r="Q1291" s="931"/>
      <c r="R1291" s="931"/>
    </row>
    <row r="1292" spans="1:18" s="328" customFormat="1" ht="13.5" customHeight="1">
      <c r="A1292" s="331"/>
      <c r="B1292" s="331"/>
      <c r="C1292" s="332"/>
      <c r="D1292" s="331"/>
      <c r="E1292" s="333"/>
      <c r="F1292" s="271"/>
      <c r="G1292" s="931"/>
      <c r="H1292" s="931"/>
      <c r="I1292" s="931"/>
      <c r="J1292" s="931"/>
      <c r="K1292" s="931"/>
      <c r="L1292" s="931"/>
      <c r="M1292" s="931"/>
      <c r="N1292" s="931"/>
      <c r="O1292" s="931"/>
      <c r="P1292" s="931"/>
      <c r="Q1292" s="931"/>
      <c r="R1292" s="931"/>
    </row>
    <row r="1293" spans="1:18" s="328" customFormat="1" ht="13.5" customHeight="1">
      <c r="A1293" s="331"/>
      <c r="B1293" s="331"/>
      <c r="C1293" s="332"/>
      <c r="D1293" s="331"/>
      <c r="E1293" s="333"/>
      <c r="F1293" s="271"/>
      <c r="G1293" s="931"/>
      <c r="H1293" s="931"/>
      <c r="I1293" s="931"/>
      <c r="J1293" s="931"/>
      <c r="K1293" s="931"/>
      <c r="L1293" s="931"/>
      <c r="M1293" s="931"/>
      <c r="N1293" s="931"/>
      <c r="O1293" s="931"/>
      <c r="P1293" s="931"/>
      <c r="Q1293" s="931"/>
      <c r="R1293" s="931"/>
    </row>
    <row r="1294" spans="1:18" s="337" customFormat="1" ht="13.5" customHeight="1">
      <c r="A1294" s="331"/>
      <c r="B1294" s="331"/>
      <c r="C1294" s="332"/>
      <c r="D1294" s="331"/>
      <c r="E1294" s="333"/>
      <c r="F1294" s="271"/>
      <c r="G1294" s="932"/>
      <c r="H1294" s="932"/>
      <c r="I1294" s="932"/>
      <c r="J1294" s="932"/>
      <c r="K1294" s="932"/>
      <c r="L1294" s="933"/>
      <c r="M1294" s="933"/>
      <c r="N1294" s="933"/>
      <c r="O1294" s="933"/>
      <c r="P1294" s="933"/>
      <c r="Q1294" s="933"/>
      <c r="R1294" s="933"/>
    </row>
    <row r="1295" spans="1:18" s="337" customFormat="1" ht="13.5" customHeight="1">
      <c r="A1295" s="331"/>
      <c r="B1295" s="331"/>
      <c r="C1295" s="332"/>
      <c r="D1295" s="331"/>
      <c r="E1295" s="333"/>
      <c r="F1295" s="271"/>
      <c r="G1295" s="932"/>
      <c r="H1295" s="932"/>
      <c r="I1295" s="932"/>
      <c r="J1295" s="932"/>
      <c r="K1295" s="932"/>
      <c r="L1295" s="933"/>
      <c r="M1295" s="933"/>
      <c r="N1295" s="933"/>
      <c r="O1295" s="933"/>
      <c r="P1295" s="933"/>
      <c r="Q1295" s="933"/>
      <c r="R1295" s="933"/>
    </row>
    <row r="1296" spans="1:18" s="337" customFormat="1" ht="13.5" customHeight="1">
      <c r="A1296" s="331"/>
      <c r="B1296" s="331"/>
      <c r="C1296" s="332"/>
      <c r="D1296" s="331"/>
      <c r="E1296" s="333"/>
      <c r="F1296" s="271"/>
      <c r="G1296" s="932"/>
      <c r="H1296" s="932"/>
      <c r="I1296" s="932"/>
      <c r="J1296" s="932"/>
      <c r="K1296" s="932"/>
      <c r="L1296" s="933"/>
      <c r="M1296" s="933"/>
      <c r="N1296" s="933"/>
      <c r="O1296" s="933"/>
      <c r="P1296" s="933"/>
      <c r="Q1296" s="933"/>
      <c r="R1296" s="933"/>
    </row>
    <row r="1297" spans="1:18" s="337" customFormat="1" ht="13.5" customHeight="1">
      <c r="A1297" s="331"/>
      <c r="B1297" s="331"/>
      <c r="C1297" s="332"/>
      <c r="D1297" s="331"/>
      <c r="E1297" s="333"/>
      <c r="F1297" s="271"/>
      <c r="G1297" s="932"/>
      <c r="H1297" s="932"/>
      <c r="I1297" s="932"/>
      <c r="J1297" s="932"/>
      <c r="K1297" s="932"/>
      <c r="L1297" s="933"/>
      <c r="M1297" s="933"/>
      <c r="N1297" s="933"/>
      <c r="O1297" s="933"/>
      <c r="P1297" s="933"/>
      <c r="Q1297" s="933"/>
      <c r="R1297" s="933"/>
    </row>
    <row r="1298" spans="1:18" s="337" customFormat="1" ht="13.5" customHeight="1">
      <c r="A1298" s="331"/>
      <c r="B1298" s="331"/>
      <c r="C1298" s="332"/>
      <c r="D1298" s="331"/>
      <c r="E1298" s="333"/>
      <c r="F1298" s="271"/>
      <c r="G1298" s="932"/>
      <c r="H1298" s="932"/>
      <c r="I1298" s="932"/>
      <c r="J1298" s="932"/>
      <c r="K1298" s="932"/>
      <c r="L1298" s="933"/>
      <c r="M1298" s="933"/>
      <c r="N1298" s="933"/>
      <c r="O1298" s="933"/>
      <c r="P1298" s="933"/>
      <c r="Q1298" s="933"/>
      <c r="R1298" s="933"/>
    </row>
    <row r="1299" spans="1:18" s="337" customFormat="1" ht="13.5" customHeight="1">
      <c r="A1299" s="331"/>
      <c r="B1299" s="331"/>
      <c r="C1299" s="332"/>
      <c r="D1299" s="331"/>
      <c r="E1299" s="333"/>
      <c r="F1299" s="271"/>
      <c r="G1299" s="932"/>
      <c r="H1299" s="932"/>
      <c r="I1299" s="932"/>
      <c r="J1299" s="932"/>
      <c r="K1299" s="932"/>
      <c r="L1299" s="933"/>
      <c r="M1299" s="933"/>
      <c r="N1299" s="933"/>
      <c r="O1299" s="933"/>
      <c r="P1299" s="933"/>
      <c r="Q1299" s="933"/>
      <c r="R1299" s="933"/>
    </row>
    <row r="1300" spans="1:18" s="337" customFormat="1" ht="13.5" customHeight="1">
      <c r="A1300" s="331"/>
      <c r="B1300" s="331"/>
      <c r="C1300" s="332"/>
      <c r="D1300" s="331"/>
      <c r="E1300" s="333"/>
      <c r="F1300" s="271"/>
      <c r="G1300" s="932"/>
      <c r="H1300" s="932"/>
      <c r="I1300" s="932"/>
      <c r="J1300" s="932"/>
      <c r="K1300" s="932"/>
      <c r="L1300" s="933"/>
      <c r="M1300" s="933"/>
      <c r="N1300" s="933"/>
      <c r="O1300" s="933"/>
      <c r="P1300" s="933"/>
      <c r="Q1300" s="933"/>
      <c r="R1300" s="933"/>
    </row>
    <row r="1301" spans="1:18" s="337" customFormat="1" ht="13.5" customHeight="1">
      <c r="A1301" s="331"/>
      <c r="B1301" s="331"/>
      <c r="C1301" s="332"/>
      <c r="D1301" s="331"/>
      <c r="E1301" s="333"/>
      <c r="F1301" s="271"/>
      <c r="G1301" s="932"/>
      <c r="H1301" s="932"/>
      <c r="I1301" s="932"/>
      <c r="J1301" s="932"/>
      <c r="K1301" s="932"/>
      <c r="L1301" s="933"/>
      <c r="M1301" s="933"/>
      <c r="N1301" s="933"/>
      <c r="O1301" s="933"/>
      <c r="P1301" s="933"/>
      <c r="Q1301" s="933"/>
      <c r="R1301" s="933"/>
    </row>
    <row r="1302" spans="1:18" s="337" customFormat="1" ht="13.5" customHeight="1">
      <c r="A1302" s="331"/>
      <c r="B1302" s="331"/>
      <c r="C1302" s="332"/>
      <c r="D1302" s="331"/>
      <c r="E1302" s="333"/>
      <c r="F1302" s="271"/>
      <c r="G1302" s="932"/>
      <c r="H1302" s="932"/>
      <c r="I1302" s="932"/>
      <c r="J1302" s="932"/>
      <c r="K1302" s="932"/>
      <c r="L1302" s="933"/>
      <c r="M1302" s="933"/>
      <c r="N1302" s="933"/>
      <c r="O1302" s="933"/>
      <c r="P1302" s="933"/>
      <c r="Q1302" s="933"/>
      <c r="R1302" s="933"/>
    </row>
    <row r="1303" spans="1:18" s="337" customFormat="1" ht="13.5" customHeight="1">
      <c r="A1303" s="331"/>
      <c r="B1303" s="331"/>
      <c r="C1303" s="332"/>
      <c r="D1303" s="331"/>
      <c r="E1303" s="333"/>
      <c r="F1303" s="271"/>
      <c r="G1303" s="932"/>
      <c r="H1303" s="932"/>
      <c r="I1303" s="932"/>
      <c r="J1303" s="932"/>
      <c r="K1303" s="932"/>
      <c r="L1303" s="933"/>
      <c r="M1303" s="933"/>
      <c r="N1303" s="933"/>
      <c r="O1303" s="933"/>
      <c r="P1303" s="933"/>
      <c r="Q1303" s="933"/>
      <c r="R1303" s="933"/>
    </row>
    <row r="1304" spans="1:18" s="337" customFormat="1" ht="13.5" customHeight="1">
      <c r="A1304" s="331"/>
      <c r="B1304" s="331"/>
      <c r="C1304" s="332"/>
      <c r="D1304" s="331"/>
      <c r="E1304" s="333"/>
      <c r="F1304" s="271"/>
      <c r="G1304" s="932"/>
      <c r="H1304" s="932"/>
      <c r="I1304" s="932"/>
      <c r="J1304" s="932"/>
      <c r="K1304" s="932"/>
      <c r="L1304" s="933"/>
      <c r="M1304" s="933"/>
      <c r="N1304" s="933"/>
      <c r="O1304" s="933"/>
      <c r="P1304" s="933"/>
      <c r="Q1304" s="933"/>
      <c r="R1304" s="933"/>
    </row>
    <row r="1305" spans="1:18" s="337" customFormat="1" ht="13.5" customHeight="1">
      <c r="A1305" s="331"/>
      <c r="B1305" s="331"/>
      <c r="C1305" s="332"/>
      <c r="D1305" s="331"/>
      <c r="E1305" s="333"/>
      <c r="F1305" s="271"/>
      <c r="G1305" s="932"/>
      <c r="H1305" s="932"/>
      <c r="I1305" s="932"/>
      <c r="J1305" s="932"/>
      <c r="K1305" s="932"/>
      <c r="L1305" s="933"/>
      <c r="M1305" s="933"/>
      <c r="N1305" s="933"/>
      <c r="O1305" s="933"/>
      <c r="P1305" s="933"/>
      <c r="Q1305" s="933"/>
      <c r="R1305" s="933"/>
    </row>
    <row r="1306" spans="1:18" s="337" customFormat="1" ht="13.5" customHeight="1">
      <c r="A1306" s="331"/>
      <c r="B1306" s="331"/>
      <c r="C1306" s="332"/>
      <c r="D1306" s="331"/>
      <c r="E1306" s="333"/>
      <c r="F1306" s="271"/>
      <c r="G1306" s="932"/>
      <c r="H1306" s="932"/>
      <c r="I1306" s="932"/>
      <c r="J1306" s="932"/>
      <c r="K1306" s="932"/>
      <c r="L1306" s="933"/>
      <c r="M1306" s="933"/>
      <c r="N1306" s="933"/>
      <c r="O1306" s="933"/>
      <c r="P1306" s="933"/>
      <c r="Q1306" s="933"/>
      <c r="R1306" s="933"/>
    </row>
    <row r="1307" spans="1:18" s="337" customFormat="1" ht="13.5" customHeight="1">
      <c r="A1307" s="331"/>
      <c r="B1307" s="331"/>
      <c r="C1307" s="332"/>
      <c r="D1307" s="331"/>
      <c r="E1307" s="333"/>
      <c r="F1307" s="271"/>
      <c r="G1307" s="932"/>
      <c r="H1307" s="932"/>
      <c r="I1307" s="932"/>
      <c r="J1307" s="932"/>
      <c r="K1307" s="932"/>
      <c r="L1307" s="933"/>
      <c r="M1307" s="933"/>
      <c r="N1307" s="933"/>
      <c r="O1307" s="933"/>
      <c r="P1307" s="933"/>
      <c r="Q1307" s="933"/>
      <c r="R1307" s="933"/>
    </row>
    <row r="1308" spans="1:18" s="337" customFormat="1" ht="13.5" customHeight="1">
      <c r="A1308" s="331"/>
      <c r="B1308" s="331"/>
      <c r="C1308" s="332"/>
      <c r="D1308" s="331"/>
      <c r="E1308" s="333"/>
      <c r="F1308" s="271"/>
      <c r="G1308" s="932"/>
      <c r="H1308" s="932"/>
      <c r="I1308" s="932"/>
      <c r="J1308" s="932"/>
      <c r="K1308" s="932"/>
      <c r="L1308" s="933"/>
      <c r="M1308" s="933"/>
      <c r="N1308" s="933"/>
      <c r="O1308" s="933"/>
      <c r="P1308" s="933"/>
      <c r="Q1308" s="933"/>
      <c r="R1308" s="933"/>
    </row>
    <row r="1309" spans="1:18" s="337" customFormat="1" ht="13.5" customHeight="1">
      <c r="A1309" s="331"/>
      <c r="B1309" s="331"/>
      <c r="C1309" s="332"/>
      <c r="D1309" s="331"/>
      <c r="E1309" s="333"/>
      <c r="F1309" s="271"/>
      <c r="G1309" s="932"/>
      <c r="H1309" s="932"/>
      <c r="I1309" s="932"/>
      <c r="J1309" s="932"/>
      <c r="K1309" s="932"/>
      <c r="L1309" s="933"/>
      <c r="M1309" s="933"/>
      <c r="N1309" s="933"/>
      <c r="O1309" s="933"/>
      <c r="P1309" s="933"/>
      <c r="Q1309" s="933"/>
      <c r="R1309" s="933"/>
    </row>
    <row r="1310" spans="1:18" s="337" customFormat="1" ht="13.5" customHeight="1">
      <c r="A1310" s="331"/>
      <c r="B1310" s="331"/>
      <c r="C1310" s="332"/>
      <c r="D1310" s="331"/>
      <c r="E1310" s="333"/>
      <c r="F1310" s="271"/>
      <c r="G1310" s="932"/>
      <c r="H1310" s="932"/>
      <c r="I1310" s="932"/>
      <c r="J1310" s="932"/>
      <c r="K1310" s="932"/>
      <c r="L1310" s="933"/>
      <c r="M1310" s="933"/>
      <c r="N1310" s="933"/>
      <c r="O1310" s="933"/>
      <c r="P1310" s="933"/>
      <c r="Q1310" s="933"/>
      <c r="R1310" s="933"/>
    </row>
    <row r="1311" spans="1:18" s="337" customFormat="1" ht="13.5" customHeight="1">
      <c r="A1311" s="331"/>
      <c r="B1311" s="331"/>
      <c r="C1311" s="332"/>
      <c r="D1311" s="331"/>
      <c r="E1311" s="333"/>
      <c r="F1311" s="271"/>
      <c r="G1311" s="932"/>
      <c r="H1311" s="932"/>
      <c r="I1311" s="932"/>
      <c r="J1311" s="932"/>
      <c r="K1311" s="932"/>
      <c r="L1311" s="933"/>
      <c r="M1311" s="933"/>
      <c r="N1311" s="933"/>
      <c r="O1311" s="933"/>
      <c r="P1311" s="933"/>
      <c r="Q1311" s="933"/>
      <c r="R1311" s="933"/>
    </row>
    <row r="1312" spans="1:18" s="337" customFormat="1" ht="13.5" customHeight="1">
      <c r="A1312" s="331"/>
      <c r="B1312" s="331"/>
      <c r="C1312" s="332"/>
      <c r="D1312" s="331"/>
      <c r="E1312" s="333"/>
      <c r="F1312" s="271"/>
      <c r="G1312" s="932"/>
      <c r="H1312" s="932"/>
      <c r="I1312" s="932"/>
      <c r="J1312" s="932"/>
      <c r="K1312" s="932"/>
      <c r="L1312" s="933"/>
      <c r="M1312" s="933"/>
      <c r="N1312" s="933"/>
      <c r="O1312" s="933"/>
      <c r="P1312" s="933"/>
      <c r="Q1312" s="933"/>
      <c r="R1312" s="933"/>
    </row>
    <row r="1313" spans="1:18" s="337" customFormat="1" ht="13.5" customHeight="1">
      <c r="A1313" s="331"/>
      <c r="B1313" s="331"/>
      <c r="C1313" s="332"/>
      <c r="D1313" s="331"/>
      <c r="E1313" s="333"/>
      <c r="F1313" s="271"/>
      <c r="G1313" s="932"/>
      <c r="H1313" s="932"/>
      <c r="I1313" s="932"/>
      <c r="J1313" s="932"/>
      <c r="K1313" s="932"/>
      <c r="L1313" s="933"/>
      <c r="M1313" s="933"/>
      <c r="N1313" s="933"/>
      <c r="O1313" s="933"/>
      <c r="P1313" s="933"/>
      <c r="Q1313" s="933"/>
      <c r="R1313" s="933"/>
    </row>
    <row r="1314" spans="1:18" s="337" customFormat="1" ht="13.5" customHeight="1">
      <c r="A1314" s="331"/>
      <c r="B1314" s="331"/>
      <c r="C1314" s="332"/>
      <c r="D1314" s="331"/>
      <c r="E1314" s="333"/>
      <c r="F1314" s="271"/>
      <c r="G1314" s="932"/>
      <c r="H1314" s="932"/>
      <c r="I1314" s="932"/>
      <c r="J1314" s="932"/>
      <c r="K1314" s="932"/>
      <c r="L1314" s="933"/>
      <c r="M1314" s="933"/>
      <c r="N1314" s="933"/>
      <c r="O1314" s="933"/>
      <c r="P1314" s="933"/>
      <c r="Q1314" s="933"/>
      <c r="R1314" s="933"/>
    </row>
    <row r="1315" spans="1:18" s="337" customFormat="1" ht="13.5" customHeight="1">
      <c r="A1315" s="331"/>
      <c r="B1315" s="331"/>
      <c r="C1315" s="332"/>
      <c r="D1315" s="331"/>
      <c r="E1315" s="333"/>
      <c r="F1315" s="271"/>
      <c r="G1315" s="932"/>
      <c r="H1315" s="932"/>
      <c r="I1315" s="932"/>
      <c r="J1315" s="932"/>
      <c r="K1315" s="932"/>
      <c r="L1315" s="933"/>
      <c r="M1315" s="933"/>
      <c r="N1315" s="933"/>
      <c r="O1315" s="933"/>
      <c r="P1315" s="933"/>
      <c r="Q1315" s="933"/>
      <c r="R1315" s="933"/>
    </row>
    <row r="1316" spans="1:18" s="337" customFormat="1" ht="13.5" customHeight="1">
      <c r="A1316" s="331"/>
      <c r="B1316" s="331"/>
      <c r="C1316" s="332"/>
      <c r="D1316" s="331"/>
      <c r="E1316" s="333"/>
      <c r="F1316" s="271"/>
      <c r="G1316" s="932"/>
      <c r="H1316" s="932"/>
      <c r="I1316" s="932"/>
      <c r="J1316" s="932"/>
      <c r="K1316" s="932"/>
      <c r="L1316" s="933"/>
      <c r="M1316" s="933"/>
      <c r="N1316" s="933"/>
      <c r="O1316" s="933"/>
      <c r="P1316" s="933"/>
      <c r="Q1316" s="933"/>
      <c r="R1316" s="933"/>
    </row>
    <row r="1317" spans="1:18" s="337" customFormat="1" ht="13.5" customHeight="1">
      <c r="A1317" s="331"/>
      <c r="B1317" s="331"/>
      <c r="C1317" s="332"/>
      <c r="D1317" s="331"/>
      <c r="E1317" s="333"/>
      <c r="F1317" s="271"/>
      <c r="G1317" s="932"/>
      <c r="H1317" s="932"/>
      <c r="I1317" s="932"/>
      <c r="J1317" s="932"/>
      <c r="K1317" s="932"/>
      <c r="L1317" s="933"/>
      <c r="M1317" s="933"/>
      <c r="N1317" s="933"/>
      <c r="O1317" s="933"/>
      <c r="P1317" s="933"/>
      <c r="Q1317" s="933"/>
      <c r="R1317" s="933"/>
    </row>
    <row r="1318" spans="1:18" s="337" customFormat="1" ht="13.5" customHeight="1">
      <c r="A1318" s="331"/>
      <c r="B1318" s="331"/>
      <c r="C1318" s="332"/>
      <c r="D1318" s="331"/>
      <c r="E1318" s="333"/>
      <c r="F1318" s="271"/>
      <c r="G1318" s="932"/>
      <c r="H1318" s="932"/>
      <c r="I1318" s="932"/>
      <c r="J1318" s="932"/>
      <c r="K1318" s="932"/>
      <c r="L1318" s="933"/>
      <c r="M1318" s="933"/>
      <c r="N1318" s="933"/>
      <c r="O1318" s="933"/>
      <c r="P1318" s="933"/>
      <c r="Q1318" s="933"/>
      <c r="R1318" s="933"/>
    </row>
    <row r="1319" spans="1:18" s="337" customFormat="1" ht="13.5" customHeight="1">
      <c r="A1319" s="331"/>
      <c r="B1319" s="331"/>
      <c r="C1319" s="332"/>
      <c r="D1319" s="331"/>
      <c r="E1319" s="333"/>
      <c r="F1319" s="271"/>
      <c r="G1319" s="932"/>
      <c r="H1319" s="932"/>
      <c r="I1319" s="932"/>
      <c r="J1319" s="932"/>
      <c r="K1319" s="932"/>
      <c r="L1319" s="933"/>
      <c r="M1319" s="933"/>
      <c r="N1319" s="933"/>
      <c r="O1319" s="933"/>
      <c r="P1319" s="933"/>
      <c r="Q1319" s="933"/>
      <c r="R1319" s="933"/>
    </row>
    <row r="1320" spans="1:18" s="337" customFormat="1" ht="13.5" customHeight="1">
      <c r="A1320" s="331"/>
      <c r="B1320" s="331"/>
      <c r="C1320" s="332"/>
      <c r="D1320" s="331"/>
      <c r="E1320" s="333"/>
      <c r="F1320" s="271"/>
      <c r="G1320" s="932"/>
      <c r="H1320" s="932"/>
      <c r="I1320" s="932"/>
      <c r="J1320" s="932"/>
      <c r="K1320" s="932"/>
      <c r="L1320" s="933"/>
      <c r="M1320" s="933"/>
      <c r="N1320" s="933"/>
      <c r="O1320" s="933"/>
      <c r="P1320" s="933"/>
      <c r="Q1320" s="933"/>
      <c r="R1320" s="933"/>
    </row>
    <row r="1321" spans="1:18" s="337" customFormat="1" ht="13.5" customHeight="1">
      <c r="A1321" s="331"/>
      <c r="B1321" s="331"/>
      <c r="C1321" s="332"/>
      <c r="D1321" s="331"/>
      <c r="E1321" s="333"/>
      <c r="F1321" s="271"/>
      <c r="G1321" s="932"/>
      <c r="H1321" s="932"/>
      <c r="I1321" s="932"/>
      <c r="J1321" s="932"/>
      <c r="K1321" s="932"/>
      <c r="L1321" s="933"/>
      <c r="M1321" s="933"/>
      <c r="N1321" s="933"/>
      <c r="O1321" s="933"/>
      <c r="P1321" s="933"/>
      <c r="Q1321" s="933"/>
      <c r="R1321" s="933"/>
    </row>
    <row r="1322" spans="1:18" s="337" customFormat="1" ht="13.5" customHeight="1">
      <c r="A1322" s="331"/>
      <c r="B1322" s="331"/>
      <c r="C1322" s="332"/>
      <c r="D1322" s="331"/>
      <c r="E1322" s="333"/>
      <c r="F1322" s="271"/>
      <c r="G1322" s="932"/>
      <c r="H1322" s="932"/>
      <c r="I1322" s="932"/>
      <c r="J1322" s="932"/>
      <c r="K1322" s="932"/>
      <c r="L1322" s="933"/>
      <c r="M1322" s="933"/>
      <c r="N1322" s="933"/>
      <c r="O1322" s="933"/>
      <c r="P1322" s="933"/>
      <c r="Q1322" s="933"/>
      <c r="R1322" s="933"/>
    </row>
    <row r="1323" spans="1:18" s="337" customFormat="1" ht="13.5" customHeight="1">
      <c r="A1323" s="331"/>
      <c r="B1323" s="331"/>
      <c r="C1323" s="332"/>
      <c r="D1323" s="331"/>
      <c r="E1323" s="333"/>
      <c r="F1323" s="271"/>
      <c r="G1323" s="932"/>
      <c r="H1323" s="932"/>
      <c r="I1323" s="932"/>
      <c r="J1323" s="932"/>
      <c r="K1323" s="932"/>
      <c r="L1323" s="933"/>
      <c r="M1323" s="933"/>
      <c r="N1323" s="933"/>
      <c r="O1323" s="933"/>
      <c r="P1323" s="933"/>
      <c r="Q1323" s="933"/>
      <c r="R1323" s="933"/>
    </row>
    <row r="1324" spans="1:18" s="337" customFormat="1" ht="13.5" customHeight="1">
      <c r="A1324" s="331"/>
      <c r="B1324" s="331"/>
      <c r="C1324" s="332"/>
      <c r="D1324" s="331"/>
      <c r="E1324" s="333"/>
      <c r="F1324" s="271"/>
      <c r="G1324" s="932"/>
      <c r="H1324" s="932"/>
      <c r="I1324" s="932"/>
      <c r="J1324" s="932"/>
      <c r="K1324" s="932"/>
      <c r="L1324" s="933"/>
      <c r="M1324" s="933"/>
      <c r="N1324" s="933"/>
      <c r="O1324" s="933"/>
      <c r="P1324" s="933"/>
      <c r="Q1324" s="933"/>
      <c r="R1324" s="933"/>
    </row>
    <row r="1325" spans="1:18" s="337" customFormat="1" ht="13.5" customHeight="1">
      <c r="A1325" s="331"/>
      <c r="B1325" s="331"/>
      <c r="C1325" s="332"/>
      <c r="D1325" s="331"/>
      <c r="E1325" s="333"/>
      <c r="F1325" s="271"/>
      <c r="G1325" s="932"/>
      <c r="H1325" s="932"/>
      <c r="I1325" s="932"/>
      <c r="J1325" s="932"/>
      <c r="K1325" s="932"/>
      <c r="L1325" s="933"/>
      <c r="M1325" s="933"/>
      <c r="N1325" s="933"/>
      <c r="O1325" s="933"/>
      <c r="P1325" s="933"/>
      <c r="Q1325" s="933"/>
      <c r="R1325" s="933"/>
    </row>
    <row r="1326" spans="1:18" s="337" customFormat="1" ht="13.5" customHeight="1">
      <c r="A1326" s="331"/>
      <c r="B1326" s="331"/>
      <c r="C1326" s="332"/>
      <c r="D1326" s="331"/>
      <c r="E1326" s="333"/>
      <c r="F1326" s="271"/>
      <c r="G1326" s="932"/>
      <c r="H1326" s="932"/>
      <c r="I1326" s="932"/>
      <c r="J1326" s="932"/>
      <c r="K1326" s="932"/>
      <c r="L1326" s="933"/>
      <c r="M1326" s="933"/>
      <c r="N1326" s="933"/>
      <c r="O1326" s="933"/>
      <c r="P1326" s="933"/>
      <c r="Q1326" s="933"/>
      <c r="R1326" s="933"/>
    </row>
    <row r="1327" spans="1:18" s="337" customFormat="1" ht="13.5" customHeight="1">
      <c r="A1327" s="331"/>
      <c r="B1327" s="331"/>
      <c r="C1327" s="332"/>
      <c r="D1327" s="331"/>
      <c r="E1327" s="333"/>
      <c r="F1327" s="271"/>
      <c r="G1327" s="932"/>
      <c r="H1327" s="932"/>
      <c r="I1327" s="932"/>
      <c r="J1327" s="932"/>
      <c r="K1327" s="932"/>
      <c r="L1327" s="933"/>
      <c r="M1327" s="933"/>
      <c r="N1327" s="933"/>
      <c r="O1327" s="933"/>
      <c r="P1327" s="933"/>
      <c r="Q1327" s="933"/>
      <c r="R1327" s="933"/>
    </row>
    <row r="1328" spans="1:18" s="337" customFormat="1" ht="13.5" customHeight="1">
      <c r="A1328" s="338"/>
      <c r="B1328" s="338"/>
      <c r="C1328" s="339"/>
      <c r="D1328" s="338"/>
      <c r="E1328" s="340"/>
      <c r="F1328" s="271"/>
      <c r="G1328" s="932"/>
      <c r="H1328" s="932"/>
      <c r="I1328" s="932"/>
      <c r="J1328" s="932"/>
      <c r="K1328" s="932"/>
      <c r="L1328" s="933"/>
      <c r="M1328" s="933"/>
      <c r="N1328" s="933"/>
      <c r="O1328" s="933"/>
      <c r="P1328" s="933"/>
      <c r="Q1328" s="933"/>
      <c r="R1328" s="933"/>
    </row>
    <row r="1329" spans="1:18" s="337" customFormat="1" ht="13.5" customHeight="1">
      <c r="A1329" s="338"/>
      <c r="B1329" s="338"/>
      <c r="C1329" s="339"/>
      <c r="D1329" s="338"/>
      <c r="E1329" s="340"/>
      <c r="F1329" s="271"/>
      <c r="G1329" s="932"/>
      <c r="H1329" s="932"/>
      <c r="I1329" s="932"/>
      <c r="J1329" s="932"/>
      <c r="K1329" s="932"/>
      <c r="L1329" s="933"/>
      <c r="M1329" s="933"/>
      <c r="N1329" s="933"/>
      <c r="O1329" s="933"/>
      <c r="P1329" s="933"/>
      <c r="Q1329" s="933"/>
      <c r="R1329" s="933"/>
    </row>
    <row r="1330" spans="1:18" s="337" customFormat="1" ht="13.5" customHeight="1">
      <c r="A1330" s="338"/>
      <c r="B1330" s="338"/>
      <c r="C1330" s="339"/>
      <c r="D1330" s="338"/>
      <c r="E1330" s="340"/>
      <c r="F1330" s="271"/>
      <c r="G1330" s="932"/>
      <c r="H1330" s="932"/>
      <c r="I1330" s="932"/>
      <c r="J1330" s="932"/>
      <c r="K1330" s="932"/>
      <c r="L1330" s="933"/>
      <c r="M1330" s="933"/>
      <c r="N1330" s="933"/>
      <c r="O1330" s="933"/>
      <c r="P1330" s="933"/>
      <c r="Q1330" s="933"/>
      <c r="R1330" s="933"/>
    </row>
    <row r="1331" spans="1:18" s="337" customFormat="1" ht="13.5" customHeight="1">
      <c r="A1331" s="338"/>
      <c r="B1331" s="338"/>
      <c r="C1331" s="339"/>
      <c r="D1331" s="338"/>
      <c r="E1331" s="340"/>
      <c r="F1331" s="271"/>
      <c r="G1331" s="932"/>
      <c r="H1331" s="932"/>
      <c r="I1331" s="932"/>
      <c r="J1331" s="932"/>
      <c r="K1331" s="932"/>
      <c r="L1331" s="933"/>
      <c r="M1331" s="933"/>
      <c r="N1331" s="933"/>
      <c r="O1331" s="933"/>
      <c r="P1331" s="933"/>
      <c r="Q1331" s="933"/>
      <c r="R1331" s="933"/>
    </row>
    <row r="1332" spans="1:18" s="337" customFormat="1" ht="13.5" customHeight="1">
      <c r="A1332" s="338"/>
      <c r="B1332" s="338"/>
      <c r="C1332" s="339"/>
      <c r="D1332" s="338"/>
      <c r="E1332" s="340"/>
      <c r="F1332" s="271"/>
      <c r="G1332" s="932"/>
      <c r="H1332" s="932"/>
      <c r="I1332" s="932"/>
      <c r="J1332" s="932"/>
      <c r="K1332" s="932"/>
      <c r="L1332" s="933"/>
      <c r="M1332" s="933"/>
      <c r="N1332" s="933"/>
      <c r="O1332" s="933"/>
      <c r="P1332" s="933"/>
      <c r="Q1332" s="933"/>
      <c r="R1332" s="933"/>
    </row>
    <row r="1333" spans="1:18" s="337" customFormat="1" ht="13.5" customHeight="1">
      <c r="A1333" s="338"/>
      <c r="B1333" s="338"/>
      <c r="C1333" s="339"/>
      <c r="D1333" s="338"/>
      <c r="E1333" s="340"/>
      <c r="F1333" s="271"/>
      <c r="G1333" s="932"/>
      <c r="H1333" s="932"/>
      <c r="I1333" s="932"/>
      <c r="J1333" s="932"/>
      <c r="K1333" s="932"/>
      <c r="L1333" s="933"/>
      <c r="M1333" s="933"/>
      <c r="N1333" s="933"/>
      <c r="O1333" s="933"/>
      <c r="P1333" s="933"/>
      <c r="Q1333" s="933"/>
      <c r="R1333" s="933"/>
    </row>
    <row r="1334" spans="1:18" s="337" customFormat="1" ht="13.5" customHeight="1">
      <c r="A1334" s="338"/>
      <c r="B1334" s="338"/>
      <c r="C1334" s="339"/>
      <c r="D1334" s="338"/>
      <c r="E1334" s="340"/>
      <c r="F1334" s="271"/>
      <c r="G1334" s="932"/>
      <c r="H1334" s="932"/>
      <c r="I1334" s="932"/>
      <c r="J1334" s="932"/>
      <c r="K1334" s="932"/>
      <c r="L1334" s="933"/>
      <c r="M1334" s="933"/>
      <c r="N1334" s="933"/>
      <c r="O1334" s="933"/>
      <c r="P1334" s="933"/>
      <c r="Q1334" s="933"/>
      <c r="R1334" s="933"/>
    </row>
    <row r="1335" spans="1:18" s="337" customFormat="1" ht="13.5" customHeight="1">
      <c r="A1335" s="338"/>
      <c r="B1335" s="338"/>
      <c r="C1335" s="339"/>
      <c r="D1335" s="338"/>
      <c r="E1335" s="340"/>
      <c r="F1335" s="271"/>
      <c r="G1335" s="932"/>
      <c r="H1335" s="932"/>
      <c r="I1335" s="932"/>
      <c r="J1335" s="932"/>
      <c r="K1335" s="932"/>
      <c r="L1335" s="933"/>
      <c r="M1335" s="933"/>
      <c r="N1335" s="933"/>
      <c r="O1335" s="933"/>
      <c r="P1335" s="933"/>
      <c r="Q1335" s="933"/>
      <c r="R1335" s="933"/>
    </row>
    <row r="1336" spans="1:18" s="337" customFormat="1" ht="13.5" customHeight="1">
      <c r="A1336" s="338"/>
      <c r="B1336" s="338"/>
      <c r="C1336" s="339"/>
      <c r="D1336" s="338"/>
      <c r="E1336" s="340"/>
      <c r="F1336" s="271"/>
      <c r="G1336" s="932"/>
      <c r="H1336" s="932"/>
      <c r="I1336" s="932"/>
      <c r="J1336" s="932"/>
      <c r="K1336" s="932"/>
      <c r="L1336" s="933"/>
      <c r="M1336" s="933"/>
      <c r="N1336" s="933"/>
      <c r="O1336" s="933"/>
      <c r="P1336" s="933"/>
      <c r="Q1336" s="933"/>
      <c r="R1336" s="933"/>
    </row>
    <row r="1337" spans="1:18" s="337" customFormat="1" ht="13.5" customHeight="1">
      <c r="A1337" s="338"/>
      <c r="B1337" s="338"/>
      <c r="C1337" s="339"/>
      <c r="D1337" s="338"/>
      <c r="E1337" s="340"/>
      <c r="F1337" s="271"/>
      <c r="G1337" s="932"/>
      <c r="H1337" s="932"/>
      <c r="I1337" s="932"/>
      <c r="J1337" s="932"/>
      <c r="K1337" s="932"/>
      <c r="L1337" s="933"/>
      <c r="M1337" s="933"/>
      <c r="N1337" s="933"/>
      <c r="O1337" s="933"/>
      <c r="P1337" s="933"/>
      <c r="Q1337" s="933"/>
      <c r="R1337" s="933"/>
    </row>
    <row r="1338" spans="1:18" s="337" customFormat="1" ht="13.5" customHeight="1">
      <c r="A1338" s="338"/>
      <c r="B1338" s="338"/>
      <c r="C1338" s="339"/>
      <c r="D1338" s="338"/>
      <c r="E1338" s="340"/>
      <c r="F1338" s="271"/>
      <c r="G1338" s="932"/>
      <c r="H1338" s="932"/>
      <c r="I1338" s="932"/>
      <c r="J1338" s="932"/>
      <c r="K1338" s="932"/>
      <c r="L1338" s="933"/>
      <c r="M1338" s="933"/>
      <c r="N1338" s="933"/>
      <c r="O1338" s="933"/>
      <c r="P1338" s="933"/>
      <c r="Q1338" s="933"/>
      <c r="R1338" s="933"/>
    </row>
    <row r="1339" spans="1:18" s="337" customFormat="1" ht="13.5" customHeight="1">
      <c r="A1339" s="338"/>
      <c r="B1339" s="338"/>
      <c r="C1339" s="339"/>
      <c r="D1339" s="338"/>
      <c r="E1339" s="340"/>
      <c r="F1339" s="271"/>
      <c r="G1339" s="932"/>
      <c r="H1339" s="932"/>
      <c r="I1339" s="932"/>
      <c r="J1339" s="932"/>
      <c r="K1339" s="932"/>
      <c r="L1339" s="933"/>
      <c r="M1339" s="933"/>
      <c r="N1339" s="933"/>
      <c r="O1339" s="933"/>
      <c r="P1339" s="933"/>
      <c r="Q1339" s="933"/>
      <c r="R1339" s="933"/>
    </row>
    <row r="1340" spans="1:18" s="337" customFormat="1" ht="13.5" customHeight="1">
      <c r="A1340" s="338"/>
      <c r="B1340" s="338"/>
      <c r="C1340" s="339"/>
      <c r="D1340" s="338"/>
      <c r="E1340" s="340"/>
      <c r="F1340" s="271"/>
      <c r="G1340" s="932"/>
      <c r="H1340" s="932"/>
      <c r="I1340" s="932"/>
      <c r="J1340" s="932"/>
      <c r="K1340" s="932"/>
      <c r="L1340" s="933"/>
      <c r="M1340" s="933"/>
      <c r="N1340" s="933"/>
      <c r="O1340" s="933"/>
      <c r="P1340" s="933"/>
      <c r="Q1340" s="933"/>
      <c r="R1340" s="933"/>
    </row>
    <row r="1341" spans="1:18" s="337" customFormat="1" ht="13.5" customHeight="1">
      <c r="A1341" s="338"/>
      <c r="B1341" s="338"/>
      <c r="C1341" s="339"/>
      <c r="D1341" s="338"/>
      <c r="E1341" s="340"/>
      <c r="F1341" s="271"/>
      <c r="G1341" s="932"/>
      <c r="H1341" s="932"/>
      <c r="I1341" s="932"/>
      <c r="J1341" s="932"/>
      <c r="K1341" s="932"/>
      <c r="L1341" s="933"/>
      <c r="M1341" s="933"/>
      <c r="N1341" s="933"/>
      <c r="O1341" s="933"/>
      <c r="P1341" s="933"/>
      <c r="Q1341" s="933"/>
      <c r="R1341" s="933"/>
    </row>
    <row r="1342" spans="1:18" s="337" customFormat="1" ht="13.5" customHeight="1">
      <c r="A1342" s="338"/>
      <c r="B1342" s="338"/>
      <c r="C1342" s="339"/>
      <c r="D1342" s="338"/>
      <c r="E1342" s="340"/>
      <c r="F1342" s="271"/>
      <c r="G1342" s="932"/>
      <c r="H1342" s="932"/>
      <c r="I1342" s="932"/>
      <c r="J1342" s="932"/>
      <c r="K1342" s="932"/>
      <c r="L1342" s="933"/>
      <c r="M1342" s="933"/>
      <c r="N1342" s="933"/>
      <c r="O1342" s="933"/>
      <c r="P1342" s="933"/>
      <c r="Q1342" s="933"/>
      <c r="R1342" s="933"/>
    </row>
    <row r="1343" spans="1:18" s="337" customFormat="1" ht="13.5" customHeight="1">
      <c r="A1343" s="338"/>
      <c r="B1343" s="338"/>
      <c r="C1343" s="339"/>
      <c r="D1343" s="338"/>
      <c r="E1343" s="340"/>
      <c r="F1343" s="271"/>
      <c r="G1343" s="932"/>
      <c r="H1343" s="932"/>
      <c r="I1343" s="932"/>
      <c r="J1343" s="932"/>
      <c r="K1343" s="932"/>
      <c r="L1343" s="933"/>
      <c r="M1343" s="933"/>
      <c r="N1343" s="933"/>
      <c r="O1343" s="933"/>
      <c r="P1343" s="933"/>
      <c r="Q1343" s="933"/>
      <c r="R1343" s="933"/>
    </row>
    <row r="1344" spans="1:18" s="337" customFormat="1" ht="13.5" customHeight="1">
      <c r="A1344" s="338"/>
      <c r="B1344" s="338"/>
      <c r="C1344" s="339"/>
      <c r="D1344" s="338"/>
      <c r="E1344" s="340"/>
      <c r="F1344" s="271"/>
      <c r="G1344" s="932"/>
      <c r="H1344" s="932"/>
      <c r="I1344" s="932"/>
      <c r="J1344" s="932"/>
      <c r="K1344" s="932"/>
      <c r="L1344" s="933"/>
      <c r="M1344" s="933"/>
      <c r="N1344" s="933"/>
      <c r="O1344" s="933"/>
      <c r="P1344" s="933"/>
      <c r="Q1344" s="933"/>
      <c r="R1344" s="933"/>
    </row>
    <row r="1345" spans="1:18" s="337" customFormat="1" ht="13.5" customHeight="1">
      <c r="A1345" s="338"/>
      <c r="B1345" s="338"/>
      <c r="C1345" s="339"/>
      <c r="D1345" s="338"/>
      <c r="E1345" s="340"/>
      <c r="F1345" s="271"/>
      <c r="G1345" s="932"/>
      <c r="H1345" s="932"/>
      <c r="I1345" s="932"/>
      <c r="J1345" s="932"/>
      <c r="K1345" s="932"/>
      <c r="L1345" s="933"/>
      <c r="M1345" s="933"/>
      <c r="N1345" s="933"/>
      <c r="O1345" s="933"/>
      <c r="P1345" s="933"/>
      <c r="Q1345" s="933"/>
      <c r="R1345" s="933"/>
    </row>
    <row r="1346" spans="1:18" s="337" customFormat="1" ht="13.5" customHeight="1">
      <c r="A1346" s="338"/>
      <c r="B1346" s="338"/>
      <c r="C1346" s="339"/>
      <c r="D1346" s="338"/>
      <c r="E1346" s="340"/>
      <c r="F1346" s="271"/>
      <c r="G1346" s="932"/>
      <c r="H1346" s="932"/>
      <c r="I1346" s="932"/>
      <c r="J1346" s="932"/>
      <c r="K1346" s="932"/>
      <c r="L1346" s="933"/>
      <c r="M1346" s="933"/>
      <c r="N1346" s="933"/>
      <c r="O1346" s="933"/>
      <c r="P1346" s="933"/>
      <c r="Q1346" s="933"/>
      <c r="R1346" s="933"/>
    </row>
    <row r="1347" spans="1:18" s="337" customFormat="1" ht="13.5" customHeight="1">
      <c r="A1347" s="338"/>
      <c r="B1347" s="338"/>
      <c r="C1347" s="339"/>
      <c r="D1347" s="338"/>
      <c r="E1347" s="340"/>
      <c r="F1347" s="271"/>
      <c r="G1347" s="932"/>
      <c r="H1347" s="932"/>
      <c r="I1347" s="932"/>
      <c r="J1347" s="932"/>
      <c r="K1347" s="932"/>
      <c r="L1347" s="933"/>
      <c r="M1347" s="933"/>
      <c r="N1347" s="933"/>
      <c r="O1347" s="933"/>
      <c r="P1347" s="933"/>
      <c r="Q1347" s="933"/>
      <c r="R1347" s="933"/>
    </row>
    <row r="1348" spans="1:18" s="337" customFormat="1" ht="13.5" customHeight="1">
      <c r="A1348" s="338"/>
      <c r="B1348" s="338"/>
      <c r="C1348" s="339"/>
      <c r="D1348" s="338"/>
      <c r="E1348" s="340"/>
      <c r="F1348" s="271"/>
      <c r="G1348" s="932"/>
      <c r="H1348" s="932"/>
      <c r="I1348" s="932"/>
      <c r="J1348" s="932"/>
      <c r="K1348" s="932"/>
      <c r="L1348" s="933"/>
      <c r="M1348" s="933"/>
      <c r="N1348" s="933"/>
      <c r="O1348" s="933"/>
      <c r="P1348" s="933"/>
      <c r="Q1348" s="933"/>
      <c r="R1348" s="933"/>
    </row>
    <row r="1349" spans="1:18" s="337" customFormat="1" ht="13.5" customHeight="1">
      <c r="A1349" s="338"/>
      <c r="B1349" s="338"/>
      <c r="C1349" s="339"/>
      <c r="D1349" s="338"/>
      <c r="E1349" s="340"/>
      <c r="F1349" s="271"/>
      <c r="G1349" s="932"/>
      <c r="H1349" s="932"/>
      <c r="I1349" s="932"/>
      <c r="J1349" s="932"/>
      <c r="K1349" s="932"/>
      <c r="L1349" s="933"/>
      <c r="M1349" s="933"/>
      <c r="N1349" s="933"/>
      <c r="O1349" s="933"/>
      <c r="P1349" s="933"/>
      <c r="Q1349" s="933"/>
      <c r="R1349" s="933"/>
    </row>
    <row r="1350" spans="1:18" s="337" customFormat="1" ht="13.5" customHeight="1">
      <c r="A1350" s="338"/>
      <c r="B1350" s="338"/>
      <c r="C1350" s="339"/>
      <c r="D1350" s="338"/>
      <c r="E1350" s="340"/>
      <c r="F1350" s="271"/>
      <c r="G1350" s="932"/>
      <c r="H1350" s="932"/>
      <c r="I1350" s="932"/>
      <c r="J1350" s="932"/>
      <c r="K1350" s="932"/>
      <c r="L1350" s="933"/>
      <c r="M1350" s="933"/>
      <c r="N1350" s="933"/>
      <c r="O1350" s="933"/>
      <c r="P1350" s="933"/>
      <c r="Q1350" s="933"/>
      <c r="R1350" s="933"/>
    </row>
    <row r="1351" spans="1:18" s="337" customFormat="1" ht="13.5" customHeight="1">
      <c r="A1351" s="338"/>
      <c r="B1351" s="338"/>
      <c r="C1351" s="339"/>
      <c r="D1351" s="338"/>
      <c r="E1351" s="340"/>
      <c r="F1351" s="271"/>
      <c r="G1351" s="932"/>
      <c r="H1351" s="932"/>
      <c r="I1351" s="932"/>
      <c r="J1351" s="932"/>
      <c r="K1351" s="932"/>
      <c r="L1351" s="933"/>
      <c r="M1351" s="933"/>
      <c r="N1351" s="933"/>
      <c r="O1351" s="933"/>
      <c r="P1351" s="933"/>
      <c r="Q1351" s="933"/>
      <c r="R1351" s="933"/>
    </row>
    <row r="1352" spans="1:18" s="337" customFormat="1" ht="13.5" customHeight="1">
      <c r="A1352" s="338"/>
      <c r="B1352" s="338"/>
      <c r="C1352" s="339"/>
      <c r="D1352" s="338"/>
      <c r="E1352" s="340"/>
      <c r="F1352" s="271"/>
      <c r="G1352" s="932"/>
      <c r="H1352" s="932"/>
      <c r="I1352" s="932"/>
      <c r="J1352" s="932"/>
      <c r="K1352" s="932"/>
      <c r="L1352" s="933"/>
      <c r="M1352" s="933"/>
      <c r="N1352" s="933"/>
      <c r="O1352" s="933"/>
      <c r="P1352" s="933"/>
      <c r="Q1352" s="933"/>
      <c r="R1352" s="933"/>
    </row>
    <row r="1353" spans="1:18" s="337" customFormat="1" ht="13.5" customHeight="1">
      <c r="A1353" s="338"/>
      <c r="B1353" s="338"/>
      <c r="C1353" s="339"/>
      <c r="D1353" s="338"/>
      <c r="E1353" s="340"/>
      <c r="F1353" s="271"/>
      <c r="G1353" s="932"/>
      <c r="H1353" s="932"/>
      <c r="I1353" s="932"/>
      <c r="J1353" s="932"/>
      <c r="K1353" s="932"/>
      <c r="L1353" s="933"/>
      <c r="M1353" s="933"/>
      <c r="N1353" s="933"/>
      <c r="O1353" s="933"/>
      <c r="P1353" s="933"/>
      <c r="Q1353" s="933"/>
      <c r="R1353" s="933"/>
    </row>
    <row r="1354" spans="1:18" s="337" customFormat="1" ht="13.5" customHeight="1">
      <c r="A1354" s="338"/>
      <c r="B1354" s="338"/>
      <c r="C1354" s="339"/>
      <c r="D1354" s="338"/>
      <c r="E1354" s="340"/>
      <c r="F1354" s="271"/>
      <c r="G1354" s="932"/>
      <c r="H1354" s="932"/>
      <c r="I1354" s="932"/>
      <c r="J1354" s="932"/>
      <c r="K1354" s="932"/>
      <c r="L1354" s="933"/>
      <c r="M1354" s="933"/>
      <c r="N1354" s="933"/>
      <c r="O1354" s="933"/>
      <c r="P1354" s="933"/>
      <c r="Q1354" s="933"/>
      <c r="R1354" s="933"/>
    </row>
    <row r="1355" spans="1:18" s="337" customFormat="1" ht="13.5" customHeight="1">
      <c r="A1355" s="338"/>
      <c r="B1355" s="338"/>
      <c r="C1355" s="339"/>
      <c r="D1355" s="338"/>
      <c r="E1355" s="340"/>
      <c r="F1355" s="271"/>
      <c r="G1355" s="932"/>
      <c r="H1355" s="932"/>
      <c r="I1355" s="932"/>
      <c r="J1355" s="932"/>
      <c r="K1355" s="932"/>
      <c r="L1355" s="933"/>
      <c r="M1355" s="933"/>
      <c r="N1355" s="933"/>
      <c r="O1355" s="933"/>
      <c r="P1355" s="933"/>
      <c r="Q1355" s="933"/>
      <c r="R1355" s="933"/>
    </row>
    <row r="1356" spans="1:18" s="337" customFormat="1" ht="13.5" customHeight="1">
      <c r="A1356" s="338"/>
      <c r="B1356" s="338"/>
      <c r="C1356" s="339"/>
      <c r="D1356" s="338"/>
      <c r="E1356" s="340"/>
      <c r="F1356" s="271"/>
      <c r="G1356" s="932"/>
      <c r="H1356" s="932"/>
      <c r="I1356" s="932"/>
      <c r="J1356" s="932"/>
      <c r="K1356" s="932"/>
      <c r="L1356" s="933"/>
      <c r="M1356" s="933"/>
      <c r="N1356" s="933"/>
      <c r="O1356" s="933"/>
      <c r="P1356" s="933"/>
      <c r="Q1356" s="933"/>
      <c r="R1356" s="933"/>
    </row>
    <row r="1357" spans="1:18" s="337" customFormat="1" ht="13.5" customHeight="1">
      <c r="A1357" s="338"/>
      <c r="B1357" s="338"/>
      <c r="C1357" s="339"/>
      <c r="D1357" s="338"/>
      <c r="E1357" s="340"/>
      <c r="F1357" s="271"/>
      <c r="G1357" s="932"/>
      <c r="H1357" s="932"/>
      <c r="I1357" s="932"/>
      <c r="J1357" s="932"/>
      <c r="K1357" s="932"/>
      <c r="L1357" s="933"/>
      <c r="M1357" s="933"/>
      <c r="N1357" s="933"/>
      <c r="O1357" s="933"/>
      <c r="P1357" s="933"/>
      <c r="Q1357" s="933"/>
      <c r="R1357" s="933"/>
    </row>
    <row r="1358" spans="1:18" s="337" customFormat="1" ht="13.5" customHeight="1">
      <c r="A1358" s="338"/>
      <c r="B1358" s="338"/>
      <c r="C1358" s="339"/>
      <c r="D1358" s="338"/>
      <c r="E1358" s="340"/>
      <c r="F1358" s="271"/>
      <c r="G1358" s="932"/>
      <c r="H1358" s="932"/>
      <c r="I1358" s="932"/>
      <c r="J1358" s="932"/>
      <c r="K1358" s="932"/>
      <c r="L1358" s="933"/>
      <c r="M1358" s="933"/>
      <c r="N1358" s="933"/>
      <c r="O1358" s="933"/>
      <c r="P1358" s="933"/>
      <c r="Q1358" s="933"/>
      <c r="R1358" s="933"/>
    </row>
    <row r="1359" spans="1:18" s="337" customFormat="1" ht="13.5" customHeight="1">
      <c r="A1359" s="338"/>
      <c r="B1359" s="338"/>
      <c r="C1359" s="339"/>
      <c r="D1359" s="338"/>
      <c r="E1359" s="340"/>
      <c r="F1359" s="271"/>
      <c r="G1359" s="932"/>
      <c r="H1359" s="932"/>
      <c r="I1359" s="932"/>
      <c r="J1359" s="932"/>
      <c r="K1359" s="932"/>
      <c r="L1359" s="933"/>
      <c r="M1359" s="933"/>
      <c r="N1359" s="933"/>
      <c r="O1359" s="933"/>
      <c r="P1359" s="933"/>
      <c r="Q1359" s="933"/>
      <c r="R1359" s="933"/>
    </row>
    <row r="1360" spans="1:18" s="337" customFormat="1" ht="13.5" customHeight="1">
      <c r="A1360" s="338"/>
      <c r="B1360" s="338"/>
      <c r="C1360" s="339"/>
      <c r="D1360" s="338"/>
      <c r="E1360" s="340"/>
      <c r="F1360" s="271"/>
      <c r="G1360" s="932"/>
      <c r="H1360" s="932"/>
      <c r="I1360" s="932"/>
      <c r="J1360" s="932"/>
      <c r="K1360" s="932"/>
      <c r="L1360" s="933"/>
      <c r="M1360" s="933"/>
      <c r="N1360" s="933"/>
      <c r="O1360" s="933"/>
      <c r="P1360" s="933"/>
      <c r="Q1360" s="933"/>
      <c r="R1360" s="933"/>
    </row>
    <row r="1361" spans="1:18" s="337" customFormat="1" ht="13.5" customHeight="1">
      <c r="A1361" s="338"/>
      <c r="B1361" s="338"/>
      <c r="C1361" s="339"/>
      <c r="D1361" s="338"/>
      <c r="E1361" s="340"/>
      <c r="F1361" s="271"/>
      <c r="G1361" s="932"/>
      <c r="H1361" s="932"/>
      <c r="I1361" s="932"/>
      <c r="J1361" s="932"/>
      <c r="K1361" s="932"/>
      <c r="L1361" s="933"/>
      <c r="M1361" s="933"/>
      <c r="N1361" s="933"/>
      <c r="O1361" s="933"/>
      <c r="P1361" s="933"/>
      <c r="Q1361" s="933"/>
      <c r="R1361" s="933"/>
    </row>
    <row r="1362" spans="1:18" s="337" customFormat="1" ht="13.5" customHeight="1">
      <c r="A1362" s="338"/>
      <c r="B1362" s="338"/>
      <c r="C1362" s="339"/>
      <c r="D1362" s="338"/>
      <c r="E1362" s="340"/>
      <c r="F1362" s="271"/>
      <c r="G1362" s="932"/>
      <c r="H1362" s="932"/>
      <c r="I1362" s="932"/>
      <c r="J1362" s="932"/>
      <c r="K1362" s="932"/>
      <c r="L1362" s="933"/>
      <c r="M1362" s="933"/>
      <c r="N1362" s="933"/>
      <c r="O1362" s="933"/>
      <c r="P1362" s="933"/>
      <c r="Q1362" s="933"/>
      <c r="R1362" s="933"/>
    </row>
    <row r="1363" spans="1:18" s="337" customFormat="1" ht="13.5" customHeight="1">
      <c r="A1363" s="338"/>
      <c r="B1363" s="338"/>
      <c r="C1363" s="339"/>
      <c r="D1363" s="338"/>
      <c r="E1363" s="340"/>
      <c r="F1363" s="271"/>
      <c r="G1363" s="932"/>
      <c r="H1363" s="932"/>
      <c r="I1363" s="932"/>
      <c r="J1363" s="932"/>
      <c r="K1363" s="932"/>
      <c r="L1363" s="933"/>
      <c r="M1363" s="933"/>
      <c r="N1363" s="933"/>
      <c r="O1363" s="933"/>
      <c r="P1363" s="933"/>
      <c r="Q1363" s="933"/>
      <c r="R1363" s="933"/>
    </row>
    <row r="1364" spans="1:18" s="337" customFormat="1" ht="13.5" customHeight="1">
      <c r="A1364" s="338"/>
      <c r="B1364" s="338"/>
      <c r="C1364" s="339"/>
      <c r="D1364" s="338"/>
      <c r="E1364" s="340"/>
      <c r="F1364" s="271"/>
      <c r="G1364" s="932"/>
      <c r="H1364" s="932"/>
      <c r="I1364" s="932"/>
      <c r="J1364" s="932"/>
      <c r="K1364" s="932"/>
      <c r="L1364" s="933"/>
      <c r="M1364" s="933"/>
      <c r="N1364" s="933"/>
      <c r="O1364" s="933"/>
      <c r="P1364" s="933"/>
      <c r="Q1364" s="933"/>
      <c r="R1364" s="933"/>
    </row>
    <row r="1365" spans="1:18" s="337" customFormat="1" ht="13.5" customHeight="1">
      <c r="A1365" s="338"/>
      <c r="B1365" s="338"/>
      <c r="C1365" s="339"/>
      <c r="D1365" s="338"/>
      <c r="E1365" s="340"/>
      <c r="F1365" s="271"/>
      <c r="G1365" s="932"/>
      <c r="H1365" s="932"/>
      <c r="I1365" s="932"/>
      <c r="J1365" s="932"/>
      <c r="K1365" s="932"/>
      <c r="L1365" s="933"/>
      <c r="M1365" s="933"/>
      <c r="N1365" s="933"/>
      <c r="O1365" s="933"/>
      <c r="P1365" s="933"/>
      <c r="Q1365" s="933"/>
      <c r="R1365" s="933"/>
    </row>
    <row r="1366" spans="1:18" s="337" customFormat="1" ht="13.5" customHeight="1">
      <c r="A1366" s="338"/>
      <c r="B1366" s="338"/>
      <c r="C1366" s="339"/>
      <c r="D1366" s="338"/>
      <c r="E1366" s="340"/>
      <c r="F1366" s="271"/>
      <c r="G1366" s="932"/>
      <c r="H1366" s="932"/>
      <c r="I1366" s="932"/>
      <c r="J1366" s="932"/>
      <c r="K1366" s="932"/>
      <c r="L1366" s="933"/>
      <c r="M1366" s="933"/>
      <c r="N1366" s="933"/>
      <c r="O1366" s="933"/>
      <c r="P1366" s="933"/>
      <c r="Q1366" s="933"/>
      <c r="R1366" s="933"/>
    </row>
    <row r="1367" spans="1:18" s="337" customFormat="1" ht="13.5" customHeight="1">
      <c r="A1367" s="338"/>
      <c r="B1367" s="338"/>
      <c r="C1367" s="339"/>
      <c r="D1367" s="338"/>
      <c r="E1367" s="340"/>
      <c r="F1367" s="271"/>
      <c r="G1367" s="932"/>
      <c r="H1367" s="932"/>
      <c r="I1367" s="932"/>
      <c r="J1367" s="932"/>
      <c r="K1367" s="932"/>
      <c r="L1367" s="933"/>
      <c r="M1367" s="933"/>
      <c r="N1367" s="933"/>
      <c r="O1367" s="933"/>
      <c r="P1367" s="933"/>
      <c r="Q1367" s="933"/>
      <c r="R1367" s="933"/>
    </row>
    <row r="1368" spans="1:18" s="337" customFormat="1" ht="13.5" customHeight="1">
      <c r="A1368" s="338"/>
      <c r="B1368" s="338"/>
      <c r="C1368" s="339"/>
      <c r="D1368" s="338"/>
      <c r="E1368" s="340"/>
      <c r="F1368" s="271"/>
      <c r="G1368" s="932"/>
      <c r="H1368" s="932"/>
      <c r="I1368" s="932"/>
      <c r="J1368" s="932"/>
      <c r="K1368" s="932"/>
      <c r="L1368" s="933"/>
      <c r="M1368" s="933"/>
      <c r="N1368" s="933"/>
      <c r="O1368" s="933"/>
      <c r="P1368" s="933"/>
      <c r="Q1368" s="933"/>
      <c r="R1368" s="933"/>
    </row>
    <row r="1369" spans="1:18" s="337" customFormat="1" ht="13.5" customHeight="1">
      <c r="A1369" s="338"/>
      <c r="B1369" s="338"/>
      <c r="C1369" s="339"/>
      <c r="D1369" s="338"/>
      <c r="E1369" s="340"/>
      <c r="F1369" s="271"/>
      <c r="G1369" s="932"/>
      <c r="H1369" s="932"/>
      <c r="I1369" s="932"/>
      <c r="J1369" s="932"/>
      <c r="K1369" s="932"/>
      <c r="L1369" s="933"/>
      <c r="M1369" s="933"/>
      <c r="N1369" s="933"/>
      <c r="O1369" s="933"/>
      <c r="P1369" s="933"/>
      <c r="Q1369" s="933"/>
      <c r="R1369" s="933"/>
    </row>
    <row r="1370" spans="1:18" s="337" customFormat="1" ht="13.5" customHeight="1">
      <c r="A1370" s="338"/>
      <c r="B1370" s="338"/>
      <c r="C1370" s="339"/>
      <c r="D1370" s="338"/>
      <c r="E1370" s="340"/>
      <c r="F1370" s="271"/>
      <c r="G1370" s="932"/>
      <c r="H1370" s="932"/>
      <c r="I1370" s="932"/>
      <c r="J1370" s="932"/>
      <c r="K1370" s="932"/>
      <c r="L1370" s="933"/>
      <c r="M1370" s="933"/>
      <c r="N1370" s="933"/>
      <c r="O1370" s="933"/>
      <c r="P1370" s="933"/>
      <c r="Q1370" s="933"/>
      <c r="R1370" s="933"/>
    </row>
    <row r="1371" spans="1:18" s="337" customFormat="1" ht="13.5" customHeight="1">
      <c r="A1371" s="338"/>
      <c r="B1371" s="338"/>
      <c r="C1371" s="339"/>
      <c r="D1371" s="338"/>
      <c r="E1371" s="340"/>
      <c r="F1371" s="271"/>
      <c r="G1371" s="932"/>
      <c r="H1371" s="932"/>
      <c r="I1371" s="932"/>
      <c r="J1371" s="932"/>
      <c r="K1371" s="932"/>
      <c r="L1371" s="933"/>
      <c r="M1371" s="933"/>
      <c r="N1371" s="933"/>
      <c r="O1371" s="933"/>
      <c r="P1371" s="933"/>
      <c r="Q1371" s="933"/>
      <c r="R1371" s="933"/>
    </row>
    <row r="1372" spans="1:18" s="337" customFormat="1" ht="13.5" customHeight="1">
      <c r="A1372" s="338"/>
      <c r="B1372" s="338"/>
      <c r="C1372" s="339"/>
      <c r="D1372" s="338"/>
      <c r="E1372" s="340"/>
      <c r="F1372" s="271"/>
      <c r="G1372" s="932"/>
      <c r="H1372" s="932"/>
      <c r="I1372" s="932"/>
      <c r="J1372" s="932"/>
      <c r="K1372" s="932"/>
      <c r="L1372" s="933"/>
      <c r="M1372" s="933"/>
      <c r="N1372" s="933"/>
      <c r="O1372" s="933"/>
      <c r="P1372" s="933"/>
      <c r="Q1372" s="933"/>
      <c r="R1372" s="933"/>
    </row>
    <row r="1373" spans="1:18" s="337" customFormat="1" ht="13.5" customHeight="1">
      <c r="A1373" s="338"/>
      <c r="B1373" s="338"/>
      <c r="C1373" s="339"/>
      <c r="D1373" s="338"/>
      <c r="E1373" s="340"/>
      <c r="F1373" s="271"/>
      <c r="G1373" s="932"/>
      <c r="H1373" s="932"/>
      <c r="I1373" s="932"/>
      <c r="J1373" s="932"/>
      <c r="K1373" s="932"/>
      <c r="L1373" s="933"/>
      <c r="M1373" s="933"/>
      <c r="N1373" s="933"/>
      <c r="O1373" s="933"/>
      <c r="P1373" s="933"/>
      <c r="Q1373" s="933"/>
      <c r="R1373" s="933"/>
    </row>
    <row r="1374" spans="1:18" s="337" customFormat="1" ht="13.5" customHeight="1">
      <c r="A1374" s="338"/>
      <c r="B1374" s="338"/>
      <c r="C1374" s="339"/>
      <c r="D1374" s="338"/>
      <c r="E1374" s="340"/>
      <c r="F1374" s="271"/>
      <c r="G1374" s="932"/>
      <c r="H1374" s="932"/>
      <c r="I1374" s="932"/>
      <c r="J1374" s="932"/>
      <c r="K1374" s="932"/>
      <c r="L1374" s="933"/>
      <c r="M1374" s="933"/>
      <c r="N1374" s="933"/>
      <c r="O1374" s="933"/>
      <c r="P1374" s="933"/>
      <c r="Q1374" s="933"/>
      <c r="R1374" s="933"/>
    </row>
    <row r="1375" spans="1:18" s="337" customFormat="1" ht="13.5" customHeight="1">
      <c r="A1375" s="338"/>
      <c r="B1375" s="338"/>
      <c r="C1375" s="339"/>
      <c r="D1375" s="338"/>
      <c r="E1375" s="340"/>
      <c r="F1375" s="271"/>
      <c r="G1375" s="932"/>
      <c r="H1375" s="932"/>
      <c r="I1375" s="932"/>
      <c r="J1375" s="932"/>
      <c r="K1375" s="932"/>
      <c r="L1375" s="933"/>
      <c r="M1375" s="933"/>
      <c r="N1375" s="933"/>
      <c r="O1375" s="933"/>
      <c r="P1375" s="933"/>
      <c r="Q1375" s="933"/>
      <c r="R1375" s="933"/>
    </row>
    <row r="1376" spans="1:18" s="337" customFormat="1" ht="13.5" customHeight="1">
      <c r="A1376" s="338"/>
      <c r="B1376" s="338"/>
      <c r="C1376" s="339"/>
      <c r="D1376" s="338"/>
      <c r="E1376" s="340"/>
      <c r="F1376" s="271"/>
      <c r="G1376" s="932"/>
      <c r="H1376" s="932"/>
      <c r="I1376" s="932"/>
      <c r="J1376" s="932"/>
      <c r="K1376" s="932"/>
      <c r="L1376" s="933"/>
      <c r="M1376" s="933"/>
      <c r="N1376" s="933"/>
      <c r="O1376" s="933"/>
      <c r="P1376" s="933"/>
      <c r="Q1376" s="933"/>
      <c r="R1376" s="933"/>
    </row>
    <row r="1377" spans="1:18" s="337" customFormat="1" ht="13.5" customHeight="1">
      <c r="A1377" s="338"/>
      <c r="B1377" s="338"/>
      <c r="C1377" s="339"/>
      <c r="D1377" s="338"/>
      <c r="E1377" s="340"/>
      <c r="F1377" s="271"/>
      <c r="G1377" s="932"/>
      <c r="H1377" s="932"/>
      <c r="I1377" s="932"/>
      <c r="J1377" s="932"/>
      <c r="K1377" s="932"/>
      <c r="L1377" s="933"/>
      <c r="M1377" s="933"/>
      <c r="N1377" s="933"/>
      <c r="O1377" s="933"/>
      <c r="P1377" s="933"/>
      <c r="Q1377" s="933"/>
      <c r="R1377" s="933"/>
    </row>
    <row r="1378" spans="1:18" s="337" customFormat="1" ht="13.5" customHeight="1">
      <c r="A1378" s="338"/>
      <c r="B1378" s="338"/>
      <c r="C1378" s="339"/>
      <c r="D1378" s="338"/>
      <c r="E1378" s="340"/>
      <c r="F1378" s="271"/>
      <c r="G1378" s="932"/>
      <c r="H1378" s="932"/>
      <c r="I1378" s="932"/>
      <c r="J1378" s="932"/>
      <c r="K1378" s="932"/>
      <c r="L1378" s="933"/>
      <c r="M1378" s="933"/>
      <c r="N1378" s="933"/>
      <c r="O1378" s="933"/>
      <c r="P1378" s="933"/>
      <c r="Q1378" s="933"/>
      <c r="R1378" s="933"/>
    </row>
    <row r="1379" spans="1:18" s="337" customFormat="1" ht="13.5" customHeight="1">
      <c r="A1379" s="338"/>
      <c r="B1379" s="338"/>
      <c r="C1379" s="339"/>
      <c r="D1379" s="338"/>
      <c r="E1379" s="340"/>
      <c r="F1379" s="271"/>
      <c r="G1379" s="932"/>
      <c r="H1379" s="932"/>
      <c r="I1379" s="932"/>
      <c r="J1379" s="932"/>
      <c r="K1379" s="932"/>
      <c r="L1379" s="933"/>
      <c r="M1379" s="933"/>
      <c r="N1379" s="933"/>
      <c r="O1379" s="933"/>
      <c r="P1379" s="933"/>
      <c r="Q1379" s="933"/>
      <c r="R1379" s="933"/>
    </row>
    <row r="1380" spans="1:18" s="337" customFormat="1" ht="13.5" customHeight="1">
      <c r="A1380" s="338"/>
      <c r="B1380" s="338"/>
      <c r="C1380" s="339"/>
      <c r="D1380" s="338"/>
      <c r="E1380" s="340"/>
      <c r="F1380" s="271"/>
      <c r="G1380" s="932"/>
      <c r="H1380" s="932"/>
      <c r="I1380" s="932"/>
      <c r="J1380" s="932"/>
      <c r="K1380" s="932"/>
      <c r="L1380" s="933"/>
      <c r="M1380" s="933"/>
      <c r="N1380" s="933"/>
      <c r="O1380" s="933"/>
      <c r="P1380" s="933"/>
      <c r="Q1380" s="933"/>
      <c r="R1380" s="933"/>
    </row>
    <row r="1381" spans="1:18" s="337" customFormat="1" ht="13.5" customHeight="1">
      <c r="A1381" s="338"/>
      <c r="B1381" s="338"/>
      <c r="C1381" s="339"/>
      <c r="D1381" s="338"/>
      <c r="E1381" s="340"/>
      <c r="F1381" s="271"/>
      <c r="G1381" s="932"/>
      <c r="H1381" s="932"/>
      <c r="I1381" s="932"/>
      <c r="J1381" s="932"/>
      <c r="K1381" s="932"/>
      <c r="L1381" s="933"/>
      <c r="M1381" s="933"/>
      <c r="N1381" s="933"/>
      <c r="O1381" s="933"/>
      <c r="P1381" s="933"/>
      <c r="Q1381" s="933"/>
      <c r="R1381" s="933"/>
    </row>
    <row r="1382" spans="1:18" s="337" customFormat="1" ht="13.5" customHeight="1">
      <c r="A1382" s="338"/>
      <c r="B1382" s="338"/>
      <c r="C1382" s="339"/>
      <c r="D1382" s="338"/>
      <c r="E1382" s="340"/>
      <c r="F1382" s="271"/>
      <c r="G1382" s="932"/>
      <c r="H1382" s="932"/>
      <c r="I1382" s="932"/>
      <c r="J1382" s="932"/>
      <c r="K1382" s="932"/>
      <c r="L1382" s="933"/>
      <c r="M1382" s="933"/>
      <c r="N1382" s="933"/>
      <c r="O1382" s="933"/>
      <c r="P1382" s="933"/>
      <c r="Q1382" s="933"/>
      <c r="R1382" s="933"/>
    </row>
    <row r="1383" spans="1:18" s="337" customFormat="1" ht="13.5" customHeight="1">
      <c r="A1383" s="338"/>
      <c r="B1383" s="338"/>
      <c r="C1383" s="339"/>
      <c r="D1383" s="338"/>
      <c r="E1383" s="340"/>
      <c r="F1383" s="271"/>
      <c r="G1383" s="932"/>
      <c r="H1383" s="932"/>
      <c r="I1383" s="932"/>
      <c r="J1383" s="932"/>
      <c r="K1383" s="932"/>
      <c r="L1383" s="933"/>
      <c r="M1383" s="933"/>
      <c r="N1383" s="933"/>
      <c r="O1383" s="933"/>
      <c r="P1383" s="933"/>
      <c r="Q1383" s="933"/>
      <c r="R1383" s="933"/>
    </row>
    <row r="1384" spans="1:18" s="337" customFormat="1" ht="13.5" customHeight="1">
      <c r="A1384" s="338"/>
      <c r="B1384" s="338"/>
      <c r="C1384" s="339"/>
      <c r="D1384" s="338"/>
      <c r="E1384" s="340"/>
      <c r="F1384" s="271"/>
      <c r="G1384" s="932"/>
      <c r="H1384" s="932"/>
      <c r="I1384" s="932"/>
      <c r="J1384" s="932"/>
      <c r="K1384" s="932"/>
      <c r="L1384" s="933"/>
      <c r="M1384" s="933"/>
      <c r="N1384" s="933"/>
      <c r="O1384" s="933"/>
      <c r="P1384" s="933"/>
      <c r="Q1384" s="933"/>
      <c r="R1384" s="933"/>
    </row>
    <row r="1385" spans="1:18" s="337" customFormat="1" ht="13.5" customHeight="1">
      <c r="A1385" s="338"/>
      <c r="B1385" s="338"/>
      <c r="C1385" s="339"/>
      <c r="D1385" s="338"/>
      <c r="E1385" s="340"/>
      <c r="F1385" s="271"/>
      <c r="G1385" s="932"/>
      <c r="H1385" s="932"/>
      <c r="I1385" s="932"/>
      <c r="J1385" s="932"/>
      <c r="K1385" s="932"/>
      <c r="L1385" s="933"/>
      <c r="M1385" s="933"/>
      <c r="N1385" s="933"/>
      <c r="O1385" s="933"/>
      <c r="P1385" s="933"/>
      <c r="Q1385" s="933"/>
      <c r="R1385" s="933"/>
    </row>
    <row r="1386" spans="1:18" s="337" customFormat="1" ht="13.5" customHeight="1">
      <c r="A1386" s="338"/>
      <c r="B1386" s="338"/>
      <c r="C1386" s="339"/>
      <c r="D1386" s="338"/>
      <c r="E1386" s="340"/>
      <c r="F1386" s="271"/>
      <c r="G1386" s="932"/>
      <c r="H1386" s="932"/>
      <c r="I1386" s="932"/>
      <c r="J1386" s="932"/>
      <c r="K1386" s="932"/>
      <c r="L1386" s="933"/>
      <c r="M1386" s="933"/>
      <c r="N1386" s="933"/>
      <c r="O1386" s="933"/>
      <c r="P1386" s="933"/>
      <c r="Q1386" s="933"/>
      <c r="R1386" s="933"/>
    </row>
    <row r="1387" spans="1:18" s="337" customFormat="1" ht="13.5" customHeight="1">
      <c r="A1387" s="338"/>
      <c r="B1387" s="338"/>
      <c r="C1387" s="339"/>
      <c r="D1387" s="338"/>
      <c r="E1387" s="340"/>
      <c r="F1387" s="271"/>
      <c r="G1387" s="932"/>
      <c r="H1387" s="932"/>
      <c r="I1387" s="932"/>
      <c r="J1387" s="932"/>
      <c r="K1387" s="932"/>
      <c r="L1387" s="933"/>
      <c r="M1387" s="933"/>
      <c r="N1387" s="933"/>
      <c r="O1387" s="933"/>
      <c r="P1387" s="933"/>
      <c r="Q1387" s="933"/>
      <c r="R1387" s="933"/>
    </row>
    <row r="1388" spans="1:18" s="337" customFormat="1" ht="13.5" customHeight="1">
      <c r="A1388" s="338"/>
      <c r="B1388" s="338"/>
      <c r="C1388" s="339"/>
      <c r="D1388" s="338"/>
      <c r="E1388" s="340"/>
      <c r="F1388" s="271"/>
      <c r="G1388" s="932"/>
      <c r="H1388" s="932"/>
      <c r="I1388" s="932"/>
      <c r="J1388" s="932"/>
      <c r="K1388" s="932"/>
      <c r="L1388" s="933"/>
      <c r="M1388" s="933"/>
      <c r="N1388" s="933"/>
      <c r="O1388" s="933"/>
      <c r="P1388" s="933"/>
      <c r="Q1388" s="933"/>
      <c r="R1388" s="933"/>
    </row>
    <row r="1389" spans="1:18" s="337" customFormat="1" ht="13.5" customHeight="1">
      <c r="A1389" s="338"/>
      <c r="B1389" s="338"/>
      <c r="C1389" s="339"/>
      <c r="D1389" s="338"/>
      <c r="E1389" s="340"/>
      <c r="F1389" s="271"/>
      <c r="G1389" s="932"/>
      <c r="H1389" s="932"/>
      <c r="I1389" s="932"/>
      <c r="J1389" s="932"/>
      <c r="K1389" s="932"/>
      <c r="L1389" s="933"/>
      <c r="M1389" s="933"/>
      <c r="N1389" s="933"/>
      <c r="O1389" s="933"/>
      <c r="P1389" s="933"/>
      <c r="Q1389" s="933"/>
      <c r="R1389" s="933"/>
    </row>
    <row r="1390" spans="1:18" s="337" customFormat="1" ht="13.5" customHeight="1">
      <c r="A1390" s="338"/>
      <c r="B1390" s="338"/>
      <c r="C1390" s="339"/>
      <c r="D1390" s="338"/>
      <c r="E1390" s="340"/>
      <c r="F1390" s="271"/>
      <c r="G1390" s="932"/>
      <c r="H1390" s="932"/>
      <c r="I1390" s="932"/>
      <c r="J1390" s="932"/>
      <c r="K1390" s="932"/>
      <c r="L1390" s="933"/>
      <c r="M1390" s="933"/>
      <c r="N1390" s="933"/>
      <c r="O1390" s="933"/>
      <c r="P1390" s="933"/>
      <c r="Q1390" s="933"/>
      <c r="R1390" s="933"/>
    </row>
    <row r="1391" spans="1:18" s="337" customFormat="1" ht="13.5" customHeight="1">
      <c r="A1391" s="338"/>
      <c r="B1391" s="338"/>
      <c r="C1391" s="339"/>
      <c r="D1391" s="338"/>
      <c r="E1391" s="340"/>
      <c r="F1391" s="271"/>
      <c r="G1391" s="932"/>
      <c r="H1391" s="932"/>
      <c r="I1391" s="932"/>
      <c r="J1391" s="932"/>
      <c r="K1391" s="932"/>
      <c r="L1391" s="933"/>
      <c r="M1391" s="933"/>
      <c r="N1391" s="933"/>
      <c r="O1391" s="933"/>
      <c r="P1391" s="933"/>
      <c r="Q1391" s="933"/>
      <c r="R1391" s="933"/>
    </row>
    <row r="1392" spans="1:18" s="337" customFormat="1" ht="13.5" customHeight="1">
      <c r="A1392" s="338"/>
      <c r="B1392" s="338"/>
      <c r="C1392" s="339"/>
      <c r="D1392" s="338"/>
      <c r="E1392" s="340"/>
      <c r="F1392" s="271"/>
      <c r="G1392" s="932"/>
      <c r="H1392" s="932"/>
      <c r="I1392" s="932"/>
      <c r="J1392" s="932"/>
      <c r="K1392" s="932"/>
      <c r="L1392" s="933"/>
      <c r="M1392" s="933"/>
      <c r="N1392" s="933"/>
      <c r="O1392" s="933"/>
      <c r="P1392" s="933"/>
      <c r="Q1392" s="933"/>
      <c r="R1392" s="933"/>
    </row>
    <row r="1393" spans="1:18" s="337" customFormat="1" ht="13.5" customHeight="1">
      <c r="A1393" s="338"/>
      <c r="B1393" s="338"/>
      <c r="C1393" s="339"/>
      <c r="D1393" s="338"/>
      <c r="E1393" s="340"/>
      <c r="F1393" s="271"/>
      <c r="G1393" s="932"/>
      <c r="H1393" s="932"/>
      <c r="I1393" s="932"/>
      <c r="J1393" s="932"/>
      <c r="K1393" s="932"/>
      <c r="L1393" s="933"/>
      <c r="M1393" s="933"/>
      <c r="N1393" s="933"/>
      <c r="O1393" s="933"/>
      <c r="P1393" s="933"/>
      <c r="Q1393" s="933"/>
      <c r="R1393" s="933"/>
    </row>
    <row r="1394" spans="1:18" s="337" customFormat="1" ht="13.5" customHeight="1">
      <c r="A1394" s="338"/>
      <c r="B1394" s="338"/>
      <c r="C1394" s="339"/>
      <c r="D1394" s="338"/>
      <c r="E1394" s="340"/>
      <c r="F1394" s="271"/>
      <c r="G1394" s="932"/>
      <c r="H1394" s="932"/>
      <c r="I1394" s="932"/>
      <c r="J1394" s="932"/>
      <c r="K1394" s="932"/>
      <c r="L1394" s="933"/>
      <c r="M1394" s="933"/>
      <c r="N1394" s="933"/>
      <c r="O1394" s="933"/>
      <c r="P1394" s="933"/>
      <c r="Q1394" s="933"/>
      <c r="R1394" s="933"/>
    </row>
    <row r="1395" spans="1:18" s="337" customFormat="1" ht="13.5" customHeight="1">
      <c r="A1395" s="338"/>
      <c r="B1395" s="338"/>
      <c r="C1395" s="339"/>
      <c r="D1395" s="338"/>
      <c r="E1395" s="340"/>
      <c r="F1395" s="271"/>
      <c r="G1395" s="932"/>
      <c r="H1395" s="932"/>
      <c r="I1395" s="932"/>
      <c r="J1395" s="932"/>
      <c r="K1395" s="932"/>
      <c r="L1395" s="933"/>
      <c r="M1395" s="933"/>
      <c r="N1395" s="933"/>
      <c r="O1395" s="933"/>
      <c r="P1395" s="933"/>
      <c r="Q1395" s="933"/>
      <c r="R1395" s="933"/>
    </row>
    <row r="1396" spans="1:18" s="337" customFormat="1" ht="13.5" customHeight="1">
      <c r="A1396" s="338"/>
      <c r="B1396" s="338"/>
      <c r="C1396" s="339"/>
      <c r="D1396" s="338"/>
      <c r="E1396" s="340"/>
      <c r="F1396" s="271"/>
      <c r="G1396" s="932"/>
      <c r="H1396" s="932"/>
      <c r="I1396" s="932"/>
      <c r="J1396" s="932"/>
      <c r="K1396" s="932"/>
      <c r="L1396" s="933"/>
      <c r="M1396" s="933"/>
      <c r="N1396" s="933"/>
      <c r="O1396" s="933"/>
      <c r="P1396" s="933"/>
      <c r="Q1396" s="933"/>
      <c r="R1396" s="933"/>
    </row>
    <row r="1397" spans="1:18" s="337" customFormat="1" ht="13.5" customHeight="1">
      <c r="A1397" s="338"/>
      <c r="B1397" s="338"/>
      <c r="C1397" s="339"/>
      <c r="D1397" s="338"/>
      <c r="E1397" s="340"/>
      <c r="F1397" s="271"/>
      <c r="G1397" s="932"/>
      <c r="H1397" s="932"/>
      <c r="I1397" s="932"/>
      <c r="J1397" s="932"/>
      <c r="K1397" s="932"/>
      <c r="L1397" s="933"/>
      <c r="M1397" s="933"/>
      <c r="N1397" s="933"/>
      <c r="O1397" s="933"/>
      <c r="P1397" s="933"/>
      <c r="Q1397" s="933"/>
      <c r="R1397" s="933"/>
    </row>
    <row r="1398" spans="1:18" s="337" customFormat="1" ht="13.5" customHeight="1">
      <c r="A1398" s="338"/>
      <c r="B1398" s="338"/>
      <c r="C1398" s="339"/>
      <c r="D1398" s="338"/>
      <c r="E1398" s="340"/>
      <c r="F1398" s="271"/>
      <c r="G1398" s="932"/>
      <c r="H1398" s="932"/>
      <c r="I1398" s="932"/>
      <c r="J1398" s="932"/>
      <c r="K1398" s="932"/>
      <c r="L1398" s="933"/>
      <c r="M1398" s="933"/>
      <c r="N1398" s="933"/>
      <c r="O1398" s="933"/>
      <c r="P1398" s="933"/>
      <c r="Q1398" s="933"/>
      <c r="R1398" s="933"/>
    </row>
    <row r="1399" spans="1:18" s="337" customFormat="1" ht="13.5" customHeight="1">
      <c r="A1399" s="338"/>
      <c r="B1399" s="338"/>
      <c r="C1399" s="339"/>
      <c r="D1399" s="338"/>
      <c r="E1399" s="340"/>
      <c r="F1399" s="271"/>
      <c r="G1399" s="932"/>
      <c r="H1399" s="932"/>
      <c r="I1399" s="932"/>
      <c r="J1399" s="932"/>
      <c r="K1399" s="932"/>
      <c r="L1399" s="933"/>
      <c r="M1399" s="933"/>
      <c r="N1399" s="933"/>
      <c r="O1399" s="933"/>
      <c r="P1399" s="933"/>
      <c r="Q1399" s="933"/>
      <c r="R1399" s="933"/>
    </row>
    <row r="1400" spans="1:18" s="337" customFormat="1" ht="13.5" customHeight="1">
      <c r="A1400" s="338"/>
      <c r="B1400" s="338"/>
      <c r="C1400" s="339"/>
      <c r="D1400" s="338"/>
      <c r="E1400" s="340"/>
      <c r="F1400" s="271"/>
      <c r="G1400" s="932"/>
      <c r="H1400" s="932"/>
      <c r="I1400" s="932"/>
      <c r="J1400" s="932"/>
      <c r="K1400" s="932"/>
      <c r="L1400" s="933"/>
      <c r="M1400" s="933"/>
      <c r="N1400" s="933"/>
      <c r="O1400" s="933"/>
      <c r="P1400" s="933"/>
      <c r="Q1400" s="933"/>
      <c r="R1400" s="933"/>
    </row>
    <row r="1401" spans="1:18" s="337" customFormat="1" ht="13.5" customHeight="1">
      <c r="A1401" s="338"/>
      <c r="B1401" s="338"/>
      <c r="C1401" s="339"/>
      <c r="D1401" s="338"/>
      <c r="E1401" s="340"/>
      <c r="F1401" s="271"/>
      <c r="G1401" s="932"/>
      <c r="H1401" s="932"/>
      <c r="I1401" s="932"/>
      <c r="J1401" s="932"/>
      <c r="K1401" s="932"/>
      <c r="L1401" s="933"/>
      <c r="M1401" s="933"/>
      <c r="N1401" s="933"/>
      <c r="O1401" s="933"/>
      <c r="P1401" s="933"/>
      <c r="Q1401" s="933"/>
      <c r="R1401" s="933"/>
    </row>
    <row r="1402" spans="1:18" s="337" customFormat="1" ht="13.5" customHeight="1">
      <c r="A1402" s="338"/>
      <c r="B1402" s="338"/>
      <c r="C1402" s="339"/>
      <c r="D1402" s="338"/>
      <c r="E1402" s="340"/>
      <c r="F1402" s="271"/>
      <c r="G1402" s="932"/>
      <c r="H1402" s="932"/>
      <c r="I1402" s="932"/>
      <c r="J1402" s="932"/>
      <c r="K1402" s="932"/>
      <c r="L1402" s="933"/>
      <c r="M1402" s="933"/>
      <c r="N1402" s="933"/>
      <c r="O1402" s="933"/>
      <c r="P1402" s="933"/>
      <c r="Q1402" s="933"/>
      <c r="R1402" s="933"/>
    </row>
    <row r="1403" spans="1:18" s="337" customFormat="1" ht="13.5" customHeight="1">
      <c r="A1403" s="338"/>
      <c r="B1403" s="338"/>
      <c r="C1403" s="339"/>
      <c r="D1403" s="338"/>
      <c r="E1403" s="340"/>
      <c r="F1403" s="271"/>
      <c r="G1403" s="932"/>
      <c r="H1403" s="932"/>
      <c r="I1403" s="932"/>
      <c r="J1403" s="932"/>
      <c r="K1403" s="932"/>
      <c r="L1403" s="933"/>
      <c r="M1403" s="933"/>
      <c r="N1403" s="933"/>
      <c r="O1403" s="933"/>
      <c r="P1403" s="933"/>
      <c r="Q1403" s="933"/>
      <c r="R1403" s="933"/>
    </row>
    <row r="1404" spans="1:18" s="337" customFormat="1" ht="13.5" customHeight="1">
      <c r="A1404" s="338"/>
      <c r="B1404" s="338"/>
      <c r="C1404" s="339"/>
      <c r="D1404" s="338"/>
      <c r="E1404" s="340"/>
      <c r="F1404" s="271"/>
      <c r="G1404" s="932"/>
      <c r="H1404" s="932"/>
      <c r="I1404" s="932"/>
      <c r="J1404" s="932"/>
      <c r="K1404" s="932"/>
      <c r="L1404" s="933"/>
      <c r="M1404" s="933"/>
      <c r="N1404" s="933"/>
      <c r="O1404" s="933"/>
      <c r="P1404" s="933"/>
      <c r="Q1404" s="933"/>
      <c r="R1404" s="933"/>
    </row>
    <row r="1405" spans="1:18" s="337" customFormat="1" ht="13.5" customHeight="1">
      <c r="A1405" s="338"/>
      <c r="B1405" s="338"/>
      <c r="C1405" s="339"/>
      <c r="D1405" s="338"/>
      <c r="E1405" s="340"/>
      <c r="F1405" s="271"/>
      <c r="G1405" s="932"/>
      <c r="H1405" s="932"/>
      <c r="I1405" s="932"/>
      <c r="J1405" s="932"/>
      <c r="K1405" s="932"/>
      <c r="L1405" s="933"/>
      <c r="M1405" s="933"/>
      <c r="N1405" s="933"/>
      <c r="O1405" s="933"/>
      <c r="P1405" s="933"/>
      <c r="Q1405" s="933"/>
      <c r="R1405" s="933"/>
    </row>
    <row r="1406" spans="1:18" s="337" customFormat="1" ht="13.5" customHeight="1">
      <c r="A1406" s="338"/>
      <c r="B1406" s="338"/>
      <c r="C1406" s="339"/>
      <c r="D1406" s="338"/>
      <c r="E1406" s="340"/>
      <c r="F1406" s="271"/>
      <c r="G1406" s="932"/>
      <c r="H1406" s="932"/>
      <c r="I1406" s="932"/>
      <c r="J1406" s="932"/>
      <c r="K1406" s="932"/>
      <c r="L1406" s="933"/>
      <c r="M1406" s="933"/>
      <c r="N1406" s="933"/>
      <c r="O1406" s="933"/>
      <c r="P1406" s="933"/>
      <c r="Q1406" s="933"/>
      <c r="R1406" s="933"/>
    </row>
    <row r="1407" spans="1:18" s="337" customFormat="1" ht="13.5" customHeight="1">
      <c r="A1407" s="338"/>
      <c r="B1407" s="338"/>
      <c r="C1407" s="339"/>
      <c r="D1407" s="338"/>
      <c r="E1407" s="340"/>
      <c r="F1407" s="271"/>
      <c r="G1407" s="932"/>
      <c r="H1407" s="932"/>
      <c r="I1407" s="932"/>
      <c r="J1407" s="932"/>
      <c r="K1407" s="932"/>
      <c r="L1407" s="933"/>
      <c r="M1407" s="933"/>
      <c r="N1407" s="933"/>
      <c r="O1407" s="933"/>
      <c r="P1407" s="933"/>
      <c r="Q1407" s="933"/>
      <c r="R1407" s="933"/>
    </row>
    <row r="1408" spans="1:18" s="337" customFormat="1" ht="13.5" customHeight="1">
      <c r="A1408" s="338"/>
      <c r="B1408" s="338"/>
      <c r="C1408" s="339"/>
      <c r="D1408" s="338"/>
      <c r="E1408" s="340"/>
      <c r="F1408" s="271"/>
      <c r="G1408" s="932"/>
      <c r="H1408" s="932"/>
      <c r="I1408" s="932"/>
      <c r="J1408" s="932"/>
      <c r="K1408" s="932"/>
      <c r="L1408" s="933"/>
      <c r="M1408" s="933"/>
      <c r="N1408" s="933"/>
      <c r="O1408" s="933"/>
      <c r="P1408" s="933"/>
      <c r="Q1408" s="933"/>
      <c r="R1408" s="933"/>
    </row>
    <row r="1409" spans="1:18" s="337" customFormat="1" ht="13.5" customHeight="1">
      <c r="A1409" s="338"/>
      <c r="B1409" s="338"/>
      <c r="C1409" s="339"/>
      <c r="D1409" s="338"/>
      <c r="E1409" s="340"/>
      <c r="F1409" s="271"/>
      <c r="G1409" s="932"/>
      <c r="H1409" s="932"/>
      <c r="I1409" s="932"/>
      <c r="J1409" s="932"/>
      <c r="K1409" s="932"/>
      <c r="L1409" s="933"/>
      <c r="M1409" s="933"/>
      <c r="N1409" s="933"/>
      <c r="O1409" s="933"/>
      <c r="P1409" s="933"/>
      <c r="Q1409" s="933"/>
      <c r="R1409" s="933"/>
    </row>
    <row r="1410" spans="1:18" s="337" customFormat="1" ht="13.5" customHeight="1">
      <c r="A1410" s="338"/>
      <c r="B1410" s="338"/>
      <c r="C1410" s="339"/>
      <c r="D1410" s="338"/>
      <c r="E1410" s="340"/>
      <c r="F1410" s="271"/>
      <c r="G1410" s="932"/>
      <c r="H1410" s="932"/>
      <c r="I1410" s="932"/>
      <c r="J1410" s="932"/>
      <c r="K1410" s="932"/>
      <c r="L1410" s="933"/>
      <c r="M1410" s="933"/>
      <c r="N1410" s="933"/>
      <c r="O1410" s="933"/>
      <c r="P1410" s="933"/>
      <c r="Q1410" s="933"/>
      <c r="R1410" s="933"/>
    </row>
    <row r="1411" spans="1:18" s="337" customFormat="1" ht="13.5" customHeight="1">
      <c r="A1411" s="338"/>
      <c r="B1411" s="338"/>
      <c r="C1411" s="339"/>
      <c r="D1411" s="338"/>
      <c r="E1411" s="340"/>
      <c r="F1411" s="271"/>
      <c r="G1411" s="932"/>
      <c r="H1411" s="932"/>
      <c r="I1411" s="932"/>
      <c r="J1411" s="932"/>
      <c r="K1411" s="932"/>
      <c r="L1411" s="933"/>
      <c r="M1411" s="933"/>
      <c r="N1411" s="933"/>
      <c r="O1411" s="933"/>
      <c r="P1411" s="933"/>
      <c r="Q1411" s="933"/>
      <c r="R1411" s="933"/>
    </row>
    <row r="1412" spans="1:18" s="337" customFormat="1" ht="13.5" customHeight="1">
      <c r="A1412" s="338"/>
      <c r="B1412" s="338"/>
      <c r="C1412" s="339"/>
      <c r="D1412" s="338"/>
      <c r="E1412" s="340"/>
      <c r="F1412" s="271"/>
      <c r="G1412" s="932"/>
      <c r="H1412" s="932"/>
      <c r="I1412" s="932"/>
      <c r="J1412" s="932"/>
      <c r="K1412" s="932"/>
      <c r="L1412" s="933"/>
      <c r="M1412" s="933"/>
      <c r="N1412" s="933"/>
      <c r="O1412" s="933"/>
      <c r="P1412" s="933"/>
      <c r="Q1412" s="933"/>
      <c r="R1412" s="933"/>
    </row>
    <row r="1413" spans="1:18" s="337" customFormat="1" ht="13.5" customHeight="1">
      <c r="A1413" s="338"/>
      <c r="B1413" s="338"/>
      <c r="C1413" s="339"/>
      <c r="D1413" s="338"/>
      <c r="E1413" s="340"/>
      <c r="F1413" s="271"/>
      <c r="G1413" s="932"/>
      <c r="H1413" s="932"/>
      <c r="I1413" s="932"/>
      <c r="J1413" s="932"/>
      <c r="K1413" s="932"/>
      <c r="L1413" s="933"/>
      <c r="M1413" s="933"/>
      <c r="N1413" s="933"/>
      <c r="O1413" s="933"/>
      <c r="P1413" s="933"/>
      <c r="Q1413" s="933"/>
      <c r="R1413" s="933"/>
    </row>
    <row r="1414" spans="1:18" s="337" customFormat="1" ht="13.5" customHeight="1">
      <c r="A1414" s="338"/>
      <c r="B1414" s="338"/>
      <c r="C1414" s="339"/>
      <c r="D1414" s="338"/>
      <c r="E1414" s="340"/>
      <c r="F1414" s="271"/>
      <c r="G1414" s="932"/>
      <c r="H1414" s="932"/>
      <c r="I1414" s="932"/>
      <c r="J1414" s="932"/>
      <c r="K1414" s="932"/>
      <c r="L1414" s="933"/>
      <c r="M1414" s="933"/>
      <c r="N1414" s="933"/>
      <c r="O1414" s="933"/>
      <c r="P1414" s="933"/>
      <c r="Q1414" s="933"/>
      <c r="R1414" s="933"/>
    </row>
    <row r="1415" spans="1:18" s="337" customFormat="1" ht="13.5" customHeight="1">
      <c r="A1415" s="338"/>
      <c r="B1415" s="338"/>
      <c r="C1415" s="339"/>
      <c r="D1415" s="338"/>
      <c r="E1415" s="340"/>
      <c r="F1415" s="271"/>
      <c r="G1415" s="932"/>
      <c r="H1415" s="932"/>
      <c r="I1415" s="932"/>
      <c r="J1415" s="932"/>
      <c r="K1415" s="932"/>
      <c r="L1415" s="933"/>
      <c r="M1415" s="933"/>
      <c r="N1415" s="933"/>
      <c r="O1415" s="933"/>
      <c r="P1415" s="933"/>
      <c r="Q1415" s="933"/>
      <c r="R1415" s="933"/>
    </row>
    <row r="1416" spans="1:18" s="337" customFormat="1" ht="13.5" customHeight="1">
      <c r="A1416" s="338"/>
      <c r="B1416" s="338"/>
      <c r="C1416" s="339"/>
      <c r="D1416" s="338"/>
      <c r="E1416" s="340"/>
      <c r="F1416" s="271"/>
      <c r="G1416" s="932"/>
      <c r="H1416" s="932"/>
      <c r="I1416" s="932"/>
      <c r="J1416" s="932"/>
      <c r="K1416" s="932"/>
      <c r="L1416" s="933"/>
      <c r="M1416" s="933"/>
      <c r="N1416" s="933"/>
      <c r="O1416" s="933"/>
      <c r="P1416" s="933"/>
      <c r="Q1416" s="933"/>
      <c r="R1416" s="933"/>
    </row>
    <row r="1417" spans="1:18" s="337" customFormat="1" ht="13.5" customHeight="1">
      <c r="A1417" s="338"/>
      <c r="B1417" s="338"/>
      <c r="C1417" s="339"/>
      <c r="D1417" s="338"/>
      <c r="E1417" s="340"/>
      <c r="F1417" s="271"/>
      <c r="G1417" s="932"/>
      <c r="H1417" s="932"/>
      <c r="I1417" s="932"/>
      <c r="J1417" s="932"/>
      <c r="K1417" s="932"/>
      <c r="L1417" s="933"/>
      <c r="M1417" s="933"/>
      <c r="N1417" s="933"/>
      <c r="O1417" s="933"/>
      <c r="P1417" s="933"/>
      <c r="Q1417" s="933"/>
      <c r="R1417" s="933"/>
    </row>
    <row r="1418" spans="1:18" s="337" customFormat="1" ht="13.5" customHeight="1">
      <c r="A1418" s="338"/>
      <c r="B1418" s="338"/>
      <c r="C1418" s="339"/>
      <c r="D1418" s="338"/>
      <c r="E1418" s="340"/>
      <c r="F1418" s="271"/>
      <c r="G1418" s="932"/>
      <c r="H1418" s="932"/>
      <c r="I1418" s="932"/>
      <c r="J1418" s="932"/>
      <c r="K1418" s="932"/>
      <c r="L1418" s="933"/>
      <c r="M1418" s="933"/>
      <c r="N1418" s="933"/>
      <c r="O1418" s="933"/>
      <c r="P1418" s="933"/>
      <c r="Q1418" s="933"/>
      <c r="R1418" s="933"/>
    </row>
    <row r="1419" spans="1:18" s="337" customFormat="1" ht="13.5" customHeight="1">
      <c r="A1419" s="338"/>
      <c r="B1419" s="338"/>
      <c r="C1419" s="339"/>
      <c r="D1419" s="338"/>
      <c r="E1419" s="340"/>
      <c r="F1419" s="271"/>
      <c r="G1419" s="932"/>
      <c r="H1419" s="932"/>
      <c r="I1419" s="932"/>
      <c r="J1419" s="932"/>
      <c r="K1419" s="932"/>
      <c r="L1419" s="933"/>
      <c r="M1419" s="933"/>
      <c r="N1419" s="933"/>
      <c r="O1419" s="933"/>
      <c r="P1419" s="933"/>
      <c r="Q1419" s="933"/>
      <c r="R1419" s="933"/>
    </row>
    <row r="1420" spans="1:18" s="337" customFormat="1" ht="13.5" customHeight="1">
      <c r="A1420" s="338"/>
      <c r="B1420" s="338"/>
      <c r="C1420" s="339"/>
      <c r="D1420" s="338"/>
      <c r="E1420" s="340"/>
      <c r="F1420" s="271"/>
      <c r="G1420" s="932"/>
      <c r="H1420" s="932"/>
      <c r="I1420" s="932"/>
      <c r="J1420" s="932"/>
      <c r="K1420" s="932"/>
      <c r="L1420" s="933"/>
      <c r="M1420" s="933"/>
      <c r="N1420" s="933"/>
      <c r="O1420" s="933"/>
      <c r="P1420" s="933"/>
      <c r="Q1420" s="933"/>
      <c r="R1420" s="933"/>
    </row>
    <row r="1421" spans="1:18" s="337" customFormat="1" ht="13.5" customHeight="1">
      <c r="A1421" s="338"/>
      <c r="B1421" s="338"/>
      <c r="C1421" s="339"/>
      <c r="D1421" s="338"/>
      <c r="E1421" s="340"/>
      <c r="F1421" s="271"/>
      <c r="G1421" s="932"/>
      <c r="H1421" s="932"/>
      <c r="I1421" s="932"/>
      <c r="J1421" s="932"/>
      <c r="K1421" s="932"/>
      <c r="L1421" s="933"/>
      <c r="M1421" s="933"/>
      <c r="N1421" s="933"/>
      <c r="O1421" s="933"/>
      <c r="P1421" s="933"/>
      <c r="Q1421" s="933"/>
      <c r="R1421" s="933"/>
    </row>
    <row r="1422" spans="1:18" s="337" customFormat="1" ht="13.5" customHeight="1">
      <c r="A1422" s="338"/>
      <c r="B1422" s="338"/>
      <c r="C1422" s="339"/>
      <c r="D1422" s="338"/>
      <c r="E1422" s="340"/>
      <c r="F1422" s="271"/>
      <c r="G1422" s="932"/>
      <c r="H1422" s="932"/>
      <c r="I1422" s="932"/>
      <c r="J1422" s="932"/>
      <c r="K1422" s="932"/>
      <c r="L1422" s="933"/>
      <c r="M1422" s="933"/>
      <c r="N1422" s="933"/>
      <c r="O1422" s="933"/>
      <c r="P1422" s="933"/>
      <c r="Q1422" s="933"/>
      <c r="R1422" s="933"/>
    </row>
    <row r="1423" spans="1:18" s="337" customFormat="1" ht="13.5" customHeight="1">
      <c r="A1423" s="338"/>
      <c r="B1423" s="338"/>
      <c r="C1423" s="339"/>
      <c r="D1423" s="338"/>
      <c r="E1423" s="340"/>
      <c r="F1423" s="271"/>
      <c r="G1423" s="932"/>
      <c r="H1423" s="932"/>
      <c r="I1423" s="932"/>
      <c r="J1423" s="932"/>
      <c r="K1423" s="932"/>
      <c r="L1423" s="933"/>
      <c r="M1423" s="933"/>
      <c r="N1423" s="933"/>
      <c r="O1423" s="933"/>
      <c r="P1423" s="933"/>
      <c r="Q1423" s="933"/>
      <c r="R1423" s="933"/>
    </row>
    <row r="1424" spans="1:18" s="337" customFormat="1" ht="13.5" customHeight="1">
      <c r="A1424" s="338"/>
      <c r="B1424" s="338"/>
      <c r="C1424" s="339"/>
      <c r="D1424" s="338"/>
      <c r="E1424" s="340"/>
      <c r="F1424" s="271"/>
      <c r="G1424" s="932"/>
      <c r="H1424" s="932"/>
      <c r="I1424" s="932"/>
      <c r="J1424" s="932"/>
      <c r="K1424" s="932"/>
      <c r="L1424" s="933"/>
      <c r="M1424" s="933"/>
      <c r="N1424" s="933"/>
      <c r="O1424" s="933"/>
      <c r="P1424" s="933"/>
      <c r="Q1424" s="933"/>
      <c r="R1424" s="933"/>
    </row>
    <row r="1425" spans="1:18" s="337" customFormat="1" ht="13.5" customHeight="1">
      <c r="A1425" s="338"/>
      <c r="B1425" s="338"/>
      <c r="C1425" s="339"/>
      <c r="D1425" s="338"/>
      <c r="E1425" s="340"/>
      <c r="F1425" s="271"/>
      <c r="G1425" s="932"/>
      <c r="H1425" s="932"/>
      <c r="I1425" s="932"/>
      <c r="J1425" s="932"/>
      <c r="K1425" s="932"/>
      <c r="L1425" s="933"/>
      <c r="M1425" s="933"/>
      <c r="N1425" s="933"/>
      <c r="O1425" s="933"/>
      <c r="P1425" s="933"/>
      <c r="Q1425" s="933"/>
      <c r="R1425" s="933"/>
    </row>
    <row r="1426" spans="1:18" s="337" customFormat="1" ht="13.5" customHeight="1">
      <c r="A1426" s="338"/>
      <c r="B1426" s="338"/>
      <c r="C1426" s="339"/>
      <c r="D1426" s="338"/>
      <c r="E1426" s="340"/>
      <c r="F1426" s="271"/>
      <c r="G1426" s="932"/>
      <c r="H1426" s="932"/>
      <c r="I1426" s="932"/>
      <c r="J1426" s="932"/>
      <c r="K1426" s="932"/>
      <c r="L1426" s="933"/>
      <c r="M1426" s="933"/>
      <c r="N1426" s="933"/>
      <c r="O1426" s="933"/>
      <c r="P1426" s="933"/>
      <c r="Q1426" s="933"/>
      <c r="R1426" s="933"/>
    </row>
    <row r="1427" spans="1:18" s="337" customFormat="1" ht="13.5" customHeight="1">
      <c r="A1427" s="338"/>
      <c r="B1427" s="338"/>
      <c r="C1427" s="339"/>
      <c r="D1427" s="338"/>
      <c r="E1427" s="340"/>
      <c r="F1427" s="271"/>
      <c r="G1427" s="932"/>
      <c r="H1427" s="932"/>
      <c r="I1427" s="932"/>
      <c r="J1427" s="932"/>
      <c r="K1427" s="932"/>
      <c r="L1427" s="933"/>
      <c r="M1427" s="933"/>
      <c r="N1427" s="933"/>
      <c r="O1427" s="933"/>
      <c r="P1427" s="933"/>
      <c r="Q1427" s="933"/>
      <c r="R1427" s="933"/>
    </row>
    <row r="1428" spans="1:18" s="337" customFormat="1" ht="13.5" customHeight="1">
      <c r="A1428" s="338"/>
      <c r="B1428" s="338"/>
      <c r="C1428" s="339"/>
      <c r="D1428" s="338"/>
      <c r="E1428" s="340"/>
      <c r="F1428" s="271"/>
      <c r="G1428" s="932"/>
      <c r="H1428" s="932"/>
      <c r="I1428" s="932"/>
      <c r="J1428" s="932"/>
      <c r="K1428" s="932"/>
      <c r="L1428" s="933"/>
      <c r="M1428" s="933"/>
      <c r="N1428" s="933"/>
      <c r="O1428" s="933"/>
      <c r="P1428" s="933"/>
      <c r="Q1428" s="933"/>
      <c r="R1428" s="933"/>
    </row>
    <row r="1429" spans="1:18" s="337" customFormat="1" ht="13.5" customHeight="1">
      <c r="A1429" s="338"/>
      <c r="B1429" s="338"/>
      <c r="C1429" s="339"/>
      <c r="D1429" s="338"/>
      <c r="E1429" s="340"/>
      <c r="F1429" s="271"/>
      <c r="G1429" s="932"/>
      <c r="H1429" s="932"/>
      <c r="I1429" s="932"/>
      <c r="J1429" s="932"/>
      <c r="K1429" s="932"/>
      <c r="L1429" s="933"/>
      <c r="M1429" s="933"/>
      <c r="N1429" s="933"/>
      <c r="O1429" s="933"/>
      <c r="P1429" s="933"/>
      <c r="Q1429" s="933"/>
      <c r="R1429" s="933"/>
    </row>
    <row r="1430" spans="1:18" s="337" customFormat="1" ht="13.5" customHeight="1">
      <c r="A1430" s="338"/>
      <c r="B1430" s="338"/>
      <c r="C1430" s="339"/>
      <c r="D1430" s="338"/>
      <c r="E1430" s="340"/>
      <c r="F1430" s="271"/>
      <c r="G1430" s="932"/>
      <c r="H1430" s="932"/>
      <c r="I1430" s="932"/>
      <c r="J1430" s="932"/>
      <c r="K1430" s="932"/>
      <c r="L1430" s="933"/>
      <c r="M1430" s="933"/>
      <c r="N1430" s="933"/>
      <c r="O1430" s="933"/>
      <c r="P1430" s="933"/>
      <c r="Q1430" s="933"/>
      <c r="R1430" s="933"/>
    </row>
    <row r="1431" spans="1:18" s="337" customFormat="1" ht="13.5" customHeight="1">
      <c r="A1431" s="338"/>
      <c r="B1431" s="338"/>
      <c r="C1431" s="339"/>
      <c r="D1431" s="338"/>
      <c r="E1431" s="340"/>
      <c r="F1431" s="271"/>
      <c r="G1431" s="932"/>
      <c r="H1431" s="932"/>
      <c r="I1431" s="932"/>
      <c r="J1431" s="932"/>
      <c r="K1431" s="932"/>
      <c r="L1431" s="933"/>
      <c r="M1431" s="933"/>
      <c r="N1431" s="933"/>
      <c r="O1431" s="933"/>
      <c r="P1431" s="933"/>
      <c r="Q1431" s="933"/>
      <c r="R1431" s="933"/>
    </row>
    <row r="1432" spans="1:18" s="337" customFormat="1" ht="13.5" customHeight="1">
      <c r="A1432" s="338"/>
      <c r="B1432" s="338"/>
      <c r="C1432" s="339"/>
      <c r="D1432" s="338"/>
      <c r="E1432" s="340"/>
      <c r="F1432" s="271"/>
      <c r="G1432" s="932"/>
      <c r="H1432" s="932"/>
      <c r="I1432" s="932"/>
      <c r="J1432" s="932"/>
      <c r="K1432" s="932"/>
      <c r="L1432" s="933"/>
      <c r="M1432" s="933"/>
      <c r="N1432" s="933"/>
      <c r="O1432" s="933"/>
      <c r="P1432" s="933"/>
      <c r="Q1432" s="933"/>
      <c r="R1432" s="933"/>
    </row>
    <row r="1433" spans="1:18" s="337" customFormat="1" ht="13.5" customHeight="1">
      <c r="A1433" s="338"/>
      <c r="B1433" s="338"/>
      <c r="C1433" s="339"/>
      <c r="D1433" s="338"/>
      <c r="E1433" s="340"/>
      <c r="F1433" s="271"/>
      <c r="G1433" s="932"/>
      <c r="H1433" s="932"/>
      <c r="I1433" s="932"/>
      <c r="J1433" s="932"/>
      <c r="K1433" s="932"/>
      <c r="L1433" s="933"/>
      <c r="M1433" s="933"/>
      <c r="N1433" s="933"/>
      <c r="O1433" s="933"/>
      <c r="P1433" s="933"/>
      <c r="Q1433" s="933"/>
      <c r="R1433" s="933"/>
    </row>
    <row r="1434" spans="1:18" s="337" customFormat="1" ht="13.5" customHeight="1">
      <c r="A1434" s="338"/>
      <c r="B1434" s="338"/>
      <c r="C1434" s="339"/>
      <c r="D1434" s="338"/>
      <c r="E1434" s="340"/>
      <c r="F1434" s="271"/>
      <c r="G1434" s="932"/>
      <c r="H1434" s="932"/>
      <c r="I1434" s="932"/>
      <c r="J1434" s="932"/>
      <c r="K1434" s="932"/>
      <c r="L1434" s="933"/>
      <c r="M1434" s="933"/>
      <c r="N1434" s="933"/>
      <c r="O1434" s="933"/>
      <c r="P1434" s="933"/>
      <c r="Q1434" s="933"/>
      <c r="R1434" s="933"/>
    </row>
    <row r="1435" spans="1:18" s="337" customFormat="1" ht="13.5" customHeight="1">
      <c r="A1435" s="338"/>
      <c r="B1435" s="338"/>
      <c r="C1435" s="339"/>
      <c r="D1435" s="338"/>
      <c r="E1435" s="340"/>
      <c r="F1435" s="271"/>
      <c r="G1435" s="932"/>
      <c r="H1435" s="932"/>
      <c r="I1435" s="932"/>
      <c r="J1435" s="932"/>
      <c r="K1435" s="932"/>
      <c r="L1435" s="933"/>
      <c r="M1435" s="933"/>
      <c r="N1435" s="933"/>
      <c r="O1435" s="933"/>
      <c r="P1435" s="933"/>
      <c r="Q1435" s="933"/>
      <c r="R1435" s="933"/>
    </row>
    <row r="1436" spans="1:18" s="337" customFormat="1" ht="13.5" customHeight="1">
      <c r="A1436" s="338"/>
      <c r="B1436" s="338"/>
      <c r="C1436" s="339"/>
      <c r="D1436" s="338"/>
      <c r="E1436" s="340"/>
      <c r="F1436" s="271"/>
      <c r="G1436" s="932"/>
      <c r="H1436" s="932"/>
      <c r="I1436" s="932"/>
      <c r="J1436" s="932"/>
      <c r="K1436" s="932"/>
      <c r="L1436" s="933"/>
      <c r="M1436" s="933"/>
      <c r="N1436" s="933"/>
      <c r="O1436" s="933"/>
      <c r="P1436" s="933"/>
      <c r="Q1436" s="933"/>
      <c r="R1436" s="933"/>
    </row>
    <row r="1437" spans="1:18" s="337" customFormat="1" ht="13.5" customHeight="1">
      <c r="A1437" s="338"/>
      <c r="B1437" s="338"/>
      <c r="C1437" s="339"/>
      <c r="D1437" s="338"/>
      <c r="E1437" s="340"/>
      <c r="F1437" s="271"/>
      <c r="G1437" s="932"/>
      <c r="H1437" s="932"/>
      <c r="I1437" s="932"/>
      <c r="J1437" s="932"/>
      <c r="K1437" s="932"/>
      <c r="L1437" s="933"/>
      <c r="M1437" s="933"/>
      <c r="N1437" s="933"/>
      <c r="O1437" s="933"/>
      <c r="P1437" s="933"/>
      <c r="Q1437" s="933"/>
      <c r="R1437" s="933"/>
    </row>
    <row r="1438" spans="1:18" s="337" customFormat="1" ht="13.5" customHeight="1">
      <c r="A1438" s="338"/>
      <c r="B1438" s="338"/>
      <c r="C1438" s="339"/>
      <c r="D1438" s="338"/>
      <c r="E1438" s="340"/>
      <c r="F1438" s="271"/>
      <c r="G1438" s="932"/>
      <c r="H1438" s="932"/>
      <c r="I1438" s="932"/>
      <c r="J1438" s="932"/>
      <c r="K1438" s="932"/>
      <c r="L1438" s="933"/>
      <c r="M1438" s="933"/>
      <c r="N1438" s="933"/>
      <c r="O1438" s="933"/>
      <c r="P1438" s="933"/>
      <c r="Q1438" s="933"/>
      <c r="R1438" s="933"/>
    </row>
    <row r="1439" spans="1:18" s="337" customFormat="1" ht="13.5" customHeight="1">
      <c r="A1439" s="338"/>
      <c r="B1439" s="338"/>
      <c r="C1439" s="339"/>
      <c r="D1439" s="338"/>
      <c r="E1439" s="340"/>
      <c r="F1439" s="271"/>
      <c r="G1439" s="932"/>
      <c r="H1439" s="932"/>
      <c r="I1439" s="932"/>
      <c r="J1439" s="932"/>
      <c r="K1439" s="932"/>
      <c r="L1439" s="933"/>
      <c r="M1439" s="933"/>
      <c r="N1439" s="933"/>
      <c r="O1439" s="933"/>
      <c r="P1439" s="933"/>
      <c r="Q1439" s="933"/>
      <c r="R1439" s="933"/>
    </row>
    <row r="1440" spans="1:18" s="337" customFormat="1" ht="13.5" customHeight="1">
      <c r="A1440" s="338"/>
      <c r="B1440" s="338"/>
      <c r="C1440" s="339"/>
      <c r="D1440" s="338"/>
      <c r="E1440" s="340"/>
      <c r="F1440" s="271"/>
      <c r="G1440" s="932"/>
      <c r="H1440" s="932"/>
      <c r="I1440" s="932"/>
      <c r="J1440" s="932"/>
      <c r="K1440" s="932"/>
      <c r="L1440" s="933"/>
      <c r="M1440" s="933"/>
      <c r="N1440" s="933"/>
      <c r="O1440" s="933"/>
      <c r="P1440" s="933"/>
      <c r="Q1440" s="933"/>
      <c r="R1440" s="933"/>
    </row>
    <row r="1441" spans="1:18" s="337" customFormat="1" ht="13.5" customHeight="1">
      <c r="A1441" s="338"/>
      <c r="B1441" s="338"/>
      <c r="C1441" s="339"/>
      <c r="D1441" s="338"/>
      <c r="E1441" s="340"/>
      <c r="F1441" s="271"/>
      <c r="G1441" s="932"/>
      <c r="H1441" s="932"/>
      <c r="I1441" s="932"/>
      <c r="J1441" s="932"/>
      <c r="K1441" s="932"/>
      <c r="L1441" s="933"/>
      <c r="M1441" s="933"/>
      <c r="N1441" s="933"/>
      <c r="O1441" s="933"/>
      <c r="P1441" s="933"/>
      <c r="Q1441" s="933"/>
      <c r="R1441" s="933"/>
    </row>
    <row r="1442" spans="1:18" s="337" customFormat="1" ht="13.5" customHeight="1">
      <c r="A1442" s="338"/>
      <c r="B1442" s="338"/>
      <c r="C1442" s="339"/>
      <c r="D1442" s="338"/>
      <c r="E1442" s="340"/>
      <c r="F1442" s="271"/>
      <c r="G1442" s="932"/>
      <c r="H1442" s="932"/>
      <c r="I1442" s="932"/>
      <c r="J1442" s="932"/>
      <c r="K1442" s="932"/>
      <c r="L1442" s="933"/>
      <c r="M1442" s="933"/>
      <c r="N1442" s="933"/>
      <c r="O1442" s="933"/>
      <c r="P1442" s="933"/>
      <c r="Q1442" s="933"/>
      <c r="R1442" s="933"/>
    </row>
    <row r="1443" spans="1:18" s="337" customFormat="1" ht="13.5" customHeight="1">
      <c r="A1443" s="338"/>
      <c r="B1443" s="338"/>
      <c r="C1443" s="339"/>
      <c r="D1443" s="338"/>
      <c r="E1443" s="340"/>
      <c r="F1443" s="271"/>
      <c r="G1443" s="932"/>
      <c r="H1443" s="932"/>
      <c r="I1443" s="932"/>
      <c r="J1443" s="932"/>
      <c r="K1443" s="932"/>
      <c r="L1443" s="933"/>
      <c r="M1443" s="933"/>
      <c r="N1443" s="933"/>
      <c r="O1443" s="933"/>
      <c r="P1443" s="933"/>
      <c r="Q1443" s="933"/>
      <c r="R1443" s="933"/>
    </row>
    <row r="1444" spans="1:18" s="337" customFormat="1" ht="13.5" customHeight="1">
      <c r="A1444" s="338"/>
      <c r="B1444" s="338"/>
      <c r="C1444" s="339"/>
      <c r="D1444" s="338"/>
      <c r="E1444" s="340"/>
      <c r="F1444" s="271"/>
      <c r="G1444" s="932"/>
      <c r="H1444" s="932"/>
      <c r="I1444" s="932"/>
      <c r="J1444" s="932"/>
      <c r="K1444" s="932"/>
      <c r="L1444" s="933"/>
      <c r="M1444" s="933"/>
      <c r="N1444" s="933"/>
      <c r="O1444" s="933"/>
      <c r="P1444" s="933"/>
      <c r="Q1444" s="933"/>
      <c r="R1444" s="933"/>
    </row>
    <row r="1445" spans="1:18" s="337" customFormat="1" ht="13.5" customHeight="1">
      <c r="A1445" s="338"/>
      <c r="B1445" s="338"/>
      <c r="C1445" s="339"/>
      <c r="D1445" s="338"/>
      <c r="E1445" s="340"/>
      <c r="F1445" s="271"/>
      <c r="G1445" s="932"/>
      <c r="H1445" s="932"/>
      <c r="I1445" s="932"/>
      <c r="J1445" s="932"/>
      <c r="K1445" s="932"/>
      <c r="L1445" s="933"/>
      <c r="M1445" s="933"/>
      <c r="N1445" s="933"/>
      <c r="O1445" s="933"/>
      <c r="P1445" s="933"/>
      <c r="Q1445" s="933"/>
      <c r="R1445" s="933"/>
    </row>
    <row r="1446" spans="1:18" s="337" customFormat="1" ht="13.5" customHeight="1">
      <c r="A1446" s="338"/>
      <c r="B1446" s="338"/>
      <c r="C1446" s="339"/>
      <c r="D1446" s="338"/>
      <c r="E1446" s="340"/>
      <c r="F1446" s="271"/>
      <c r="G1446" s="932"/>
      <c r="H1446" s="932"/>
      <c r="I1446" s="932"/>
      <c r="J1446" s="932"/>
      <c r="K1446" s="932"/>
      <c r="L1446" s="933"/>
      <c r="M1446" s="933"/>
      <c r="N1446" s="933"/>
      <c r="O1446" s="933"/>
      <c r="P1446" s="933"/>
      <c r="Q1446" s="933"/>
      <c r="R1446" s="933"/>
    </row>
    <row r="1447" spans="1:18" s="337" customFormat="1" ht="13.5" customHeight="1">
      <c r="A1447" s="338"/>
      <c r="B1447" s="338"/>
      <c r="C1447" s="339"/>
      <c r="D1447" s="338"/>
      <c r="E1447" s="340"/>
      <c r="F1447" s="271"/>
      <c r="G1447" s="932"/>
      <c r="H1447" s="932"/>
      <c r="I1447" s="932"/>
      <c r="J1447" s="932"/>
      <c r="K1447" s="932"/>
      <c r="L1447" s="933"/>
      <c r="M1447" s="933"/>
      <c r="N1447" s="933"/>
      <c r="O1447" s="933"/>
      <c r="P1447" s="933"/>
      <c r="Q1447" s="933"/>
      <c r="R1447" s="933"/>
    </row>
    <row r="1448" spans="1:18" s="337" customFormat="1" ht="13.5" customHeight="1">
      <c r="A1448" s="338"/>
      <c r="B1448" s="338"/>
      <c r="C1448" s="339"/>
      <c r="D1448" s="338"/>
      <c r="E1448" s="340"/>
      <c r="F1448" s="271"/>
      <c r="G1448" s="932"/>
      <c r="H1448" s="932"/>
      <c r="I1448" s="932"/>
      <c r="J1448" s="932"/>
      <c r="K1448" s="932"/>
      <c r="L1448" s="933"/>
      <c r="M1448" s="933"/>
      <c r="N1448" s="933"/>
      <c r="O1448" s="933"/>
      <c r="P1448" s="933"/>
      <c r="Q1448" s="933"/>
      <c r="R1448" s="933"/>
    </row>
    <row r="1449" spans="1:18" s="337" customFormat="1" ht="13.5" customHeight="1">
      <c r="A1449" s="338"/>
      <c r="B1449" s="338"/>
      <c r="C1449" s="339"/>
      <c r="D1449" s="338"/>
      <c r="E1449" s="340"/>
      <c r="F1449" s="271"/>
      <c r="G1449" s="932"/>
      <c r="H1449" s="932"/>
      <c r="I1449" s="932"/>
      <c r="J1449" s="932"/>
      <c r="K1449" s="932"/>
      <c r="L1449" s="933"/>
      <c r="M1449" s="933"/>
      <c r="N1449" s="933"/>
      <c r="O1449" s="933"/>
      <c r="P1449" s="933"/>
      <c r="Q1449" s="933"/>
      <c r="R1449" s="933"/>
    </row>
    <row r="1450" spans="1:18" s="337" customFormat="1" ht="13.5" customHeight="1">
      <c r="A1450" s="338"/>
      <c r="B1450" s="338"/>
      <c r="C1450" s="339"/>
      <c r="D1450" s="338"/>
      <c r="E1450" s="340"/>
      <c r="F1450" s="271"/>
      <c r="G1450" s="932"/>
      <c r="H1450" s="932"/>
      <c r="I1450" s="932"/>
      <c r="J1450" s="932"/>
      <c r="K1450" s="932"/>
      <c r="L1450" s="933"/>
      <c r="M1450" s="933"/>
      <c r="N1450" s="933"/>
      <c r="O1450" s="933"/>
      <c r="P1450" s="933"/>
      <c r="Q1450" s="933"/>
      <c r="R1450" s="933"/>
    </row>
    <row r="1451" spans="1:18" s="337" customFormat="1" ht="13.5" customHeight="1">
      <c r="A1451" s="338"/>
      <c r="B1451" s="338"/>
      <c r="C1451" s="339"/>
      <c r="D1451" s="338"/>
      <c r="E1451" s="340"/>
      <c r="F1451" s="271"/>
      <c r="G1451" s="932"/>
      <c r="H1451" s="932"/>
      <c r="I1451" s="932"/>
      <c r="J1451" s="932"/>
      <c r="K1451" s="932"/>
      <c r="L1451" s="933"/>
      <c r="M1451" s="933"/>
      <c r="N1451" s="933"/>
      <c r="O1451" s="933"/>
      <c r="P1451" s="933"/>
      <c r="Q1451" s="933"/>
      <c r="R1451" s="933"/>
    </row>
    <row r="1452" spans="1:18" s="337" customFormat="1" ht="13.5" customHeight="1">
      <c r="A1452" s="338"/>
      <c r="B1452" s="338"/>
      <c r="C1452" s="339"/>
      <c r="D1452" s="338"/>
      <c r="E1452" s="340"/>
      <c r="F1452" s="271"/>
      <c r="G1452" s="932"/>
      <c r="H1452" s="932"/>
      <c r="I1452" s="932"/>
      <c r="J1452" s="932"/>
      <c r="K1452" s="932"/>
      <c r="L1452" s="933"/>
      <c r="M1452" s="933"/>
      <c r="N1452" s="933"/>
      <c r="O1452" s="933"/>
      <c r="P1452" s="933"/>
      <c r="Q1452" s="933"/>
      <c r="R1452" s="933"/>
    </row>
    <row r="1453" spans="1:18" s="337" customFormat="1" ht="13.5" customHeight="1">
      <c r="A1453" s="338"/>
      <c r="B1453" s="338"/>
      <c r="C1453" s="339"/>
      <c r="D1453" s="338"/>
      <c r="E1453" s="340"/>
      <c r="F1453" s="271"/>
      <c r="G1453" s="932"/>
      <c r="H1453" s="932"/>
      <c r="I1453" s="932"/>
      <c r="J1453" s="932"/>
      <c r="K1453" s="932"/>
      <c r="L1453" s="933"/>
      <c r="M1453" s="933"/>
      <c r="N1453" s="933"/>
      <c r="O1453" s="933"/>
      <c r="P1453" s="933"/>
      <c r="Q1453" s="933"/>
      <c r="R1453" s="933"/>
    </row>
    <row r="1454" spans="1:18" s="337" customFormat="1" ht="13.5" customHeight="1">
      <c r="A1454" s="338"/>
      <c r="B1454" s="338"/>
      <c r="C1454" s="339"/>
      <c r="D1454" s="338"/>
      <c r="E1454" s="340"/>
      <c r="F1454" s="271"/>
      <c r="G1454" s="932"/>
      <c r="H1454" s="932"/>
      <c r="I1454" s="932"/>
      <c r="J1454" s="932"/>
      <c r="K1454" s="932"/>
      <c r="L1454" s="933"/>
      <c r="M1454" s="933"/>
      <c r="N1454" s="933"/>
      <c r="O1454" s="933"/>
      <c r="P1454" s="933"/>
      <c r="Q1454" s="933"/>
      <c r="R1454" s="933"/>
    </row>
    <row r="1455" spans="1:18" s="337" customFormat="1" ht="13.5" customHeight="1">
      <c r="A1455" s="338"/>
      <c r="B1455" s="338"/>
      <c r="C1455" s="339"/>
      <c r="D1455" s="338"/>
      <c r="E1455" s="340"/>
      <c r="F1455" s="271"/>
      <c r="G1455" s="932"/>
      <c r="H1455" s="932"/>
      <c r="I1455" s="932"/>
      <c r="J1455" s="932"/>
      <c r="K1455" s="932"/>
      <c r="L1455" s="933"/>
      <c r="M1455" s="933"/>
      <c r="N1455" s="933"/>
      <c r="O1455" s="933"/>
      <c r="P1455" s="933"/>
      <c r="Q1455" s="933"/>
      <c r="R1455" s="933"/>
    </row>
    <row r="1456" spans="1:18" s="337" customFormat="1" ht="13.5" customHeight="1">
      <c r="A1456" s="338"/>
      <c r="B1456" s="338"/>
      <c r="C1456" s="339"/>
      <c r="D1456" s="338"/>
      <c r="E1456" s="340"/>
      <c r="F1456" s="271"/>
      <c r="G1456" s="932"/>
      <c r="H1456" s="932"/>
      <c r="I1456" s="932"/>
      <c r="J1456" s="932"/>
      <c r="K1456" s="932"/>
      <c r="L1456" s="933"/>
      <c r="M1456" s="933"/>
      <c r="N1456" s="933"/>
      <c r="O1456" s="933"/>
      <c r="P1456" s="933"/>
      <c r="Q1456" s="933"/>
      <c r="R1456" s="933"/>
    </row>
    <row r="1457" spans="1:18" s="337" customFormat="1" ht="13.5" customHeight="1">
      <c r="A1457" s="338"/>
      <c r="B1457" s="338"/>
      <c r="C1457" s="339"/>
      <c r="D1457" s="338"/>
      <c r="E1457" s="340"/>
      <c r="F1457" s="271"/>
      <c r="G1457" s="932"/>
      <c r="H1457" s="932"/>
      <c r="I1457" s="932"/>
      <c r="J1457" s="932"/>
      <c r="K1457" s="932"/>
      <c r="L1457" s="933"/>
      <c r="M1457" s="933"/>
      <c r="N1457" s="933"/>
      <c r="O1457" s="933"/>
      <c r="P1457" s="933"/>
      <c r="Q1457" s="933"/>
      <c r="R1457" s="933"/>
    </row>
    <row r="1458" spans="1:18" s="337" customFormat="1" ht="13.5" customHeight="1">
      <c r="A1458" s="338"/>
      <c r="B1458" s="338"/>
      <c r="C1458" s="339"/>
      <c r="D1458" s="338"/>
      <c r="E1458" s="340"/>
      <c r="F1458" s="271"/>
      <c r="G1458" s="932"/>
      <c r="H1458" s="932"/>
      <c r="I1458" s="932"/>
      <c r="J1458" s="932"/>
      <c r="K1458" s="932"/>
      <c r="L1458" s="933"/>
      <c r="M1458" s="933"/>
      <c r="N1458" s="933"/>
      <c r="O1458" s="933"/>
      <c r="P1458" s="933"/>
      <c r="Q1458" s="933"/>
      <c r="R1458" s="933"/>
    </row>
    <row r="1459" spans="1:18" s="337" customFormat="1" ht="13.5" customHeight="1">
      <c r="A1459" s="338"/>
      <c r="B1459" s="338"/>
      <c r="C1459" s="339"/>
      <c r="D1459" s="338"/>
      <c r="E1459" s="340"/>
      <c r="F1459" s="271"/>
      <c r="G1459" s="932"/>
      <c r="H1459" s="932"/>
      <c r="I1459" s="932"/>
      <c r="J1459" s="932"/>
      <c r="K1459" s="932"/>
      <c r="L1459" s="933"/>
      <c r="M1459" s="933"/>
      <c r="N1459" s="933"/>
      <c r="O1459" s="933"/>
      <c r="P1459" s="933"/>
      <c r="Q1459" s="933"/>
      <c r="R1459" s="933"/>
    </row>
    <row r="1460" spans="1:18" s="337" customFormat="1" ht="13.5" customHeight="1">
      <c r="A1460" s="338"/>
      <c r="B1460" s="338"/>
      <c r="C1460" s="339"/>
      <c r="D1460" s="338"/>
      <c r="E1460" s="340"/>
      <c r="F1460" s="271"/>
      <c r="G1460" s="932"/>
      <c r="H1460" s="932"/>
      <c r="I1460" s="932"/>
      <c r="J1460" s="932"/>
      <c r="K1460" s="932"/>
      <c r="L1460" s="933"/>
      <c r="M1460" s="933"/>
      <c r="N1460" s="933"/>
      <c r="O1460" s="933"/>
      <c r="P1460" s="933"/>
      <c r="Q1460" s="933"/>
      <c r="R1460" s="933"/>
    </row>
    <row r="1461" spans="1:18" s="337" customFormat="1" ht="13.5" customHeight="1">
      <c r="A1461" s="338"/>
      <c r="B1461" s="338"/>
      <c r="C1461" s="339"/>
      <c r="D1461" s="338"/>
      <c r="E1461" s="340"/>
      <c r="F1461" s="271"/>
      <c r="G1461" s="932"/>
      <c r="H1461" s="932"/>
      <c r="I1461" s="932"/>
      <c r="J1461" s="932"/>
      <c r="K1461" s="932"/>
      <c r="L1461" s="933"/>
      <c r="M1461" s="933"/>
      <c r="N1461" s="933"/>
      <c r="O1461" s="933"/>
      <c r="P1461" s="933"/>
      <c r="Q1461" s="933"/>
      <c r="R1461" s="933"/>
    </row>
    <row r="1462" spans="1:18" s="337" customFormat="1" ht="13.5" customHeight="1">
      <c r="A1462" s="338"/>
      <c r="B1462" s="338"/>
      <c r="C1462" s="339"/>
      <c r="D1462" s="338"/>
      <c r="E1462" s="340"/>
      <c r="F1462" s="271"/>
      <c r="G1462" s="932"/>
      <c r="H1462" s="932"/>
      <c r="I1462" s="932"/>
      <c r="J1462" s="932"/>
      <c r="K1462" s="932"/>
      <c r="L1462" s="933"/>
      <c r="M1462" s="933"/>
      <c r="N1462" s="933"/>
      <c r="O1462" s="933"/>
      <c r="P1462" s="933"/>
      <c r="Q1462" s="933"/>
      <c r="R1462" s="933"/>
    </row>
    <row r="1463" spans="1:18" s="337" customFormat="1" ht="13.5" customHeight="1">
      <c r="A1463" s="338"/>
      <c r="B1463" s="338"/>
      <c r="C1463" s="339"/>
      <c r="D1463" s="338"/>
      <c r="E1463" s="340"/>
      <c r="F1463" s="271"/>
      <c r="G1463" s="932"/>
      <c r="H1463" s="932"/>
      <c r="I1463" s="932"/>
      <c r="J1463" s="932"/>
      <c r="K1463" s="932"/>
      <c r="L1463" s="933"/>
      <c r="M1463" s="933"/>
      <c r="N1463" s="933"/>
      <c r="O1463" s="933"/>
      <c r="P1463" s="933"/>
      <c r="Q1463" s="933"/>
      <c r="R1463" s="933"/>
    </row>
    <row r="1464" spans="1:18" s="337" customFormat="1" ht="13.5" customHeight="1">
      <c r="A1464" s="338"/>
      <c r="B1464" s="338"/>
      <c r="C1464" s="339"/>
      <c r="D1464" s="338"/>
      <c r="E1464" s="340"/>
      <c r="F1464" s="271"/>
      <c r="G1464" s="932"/>
      <c r="H1464" s="932"/>
      <c r="I1464" s="932"/>
      <c r="J1464" s="932"/>
      <c r="K1464" s="932"/>
      <c r="L1464" s="933"/>
      <c r="M1464" s="933"/>
      <c r="N1464" s="933"/>
      <c r="O1464" s="933"/>
      <c r="P1464" s="933"/>
      <c r="Q1464" s="933"/>
      <c r="R1464" s="933"/>
    </row>
    <row r="1465" spans="1:18" s="337" customFormat="1" ht="13.5" customHeight="1">
      <c r="A1465" s="338"/>
      <c r="B1465" s="338"/>
      <c r="C1465" s="339"/>
      <c r="D1465" s="338"/>
      <c r="E1465" s="340"/>
      <c r="F1465" s="271"/>
      <c r="G1465" s="932"/>
      <c r="H1465" s="932"/>
      <c r="I1465" s="932"/>
      <c r="J1465" s="932"/>
      <c r="K1465" s="932"/>
      <c r="L1465" s="933"/>
      <c r="M1465" s="933"/>
      <c r="N1465" s="933"/>
      <c r="O1465" s="933"/>
      <c r="P1465" s="933"/>
      <c r="Q1465" s="933"/>
      <c r="R1465" s="933"/>
    </row>
    <row r="1466" spans="1:18" s="337" customFormat="1" ht="13.5" customHeight="1">
      <c r="A1466" s="338"/>
      <c r="B1466" s="338"/>
      <c r="C1466" s="339"/>
      <c r="D1466" s="338"/>
      <c r="E1466" s="340"/>
      <c r="F1466" s="271"/>
      <c r="G1466" s="932"/>
      <c r="H1466" s="932"/>
      <c r="I1466" s="932"/>
      <c r="J1466" s="932"/>
      <c r="K1466" s="932"/>
      <c r="L1466" s="933"/>
      <c r="M1466" s="933"/>
      <c r="N1466" s="933"/>
      <c r="O1466" s="933"/>
      <c r="P1466" s="933"/>
      <c r="Q1466" s="933"/>
      <c r="R1466" s="933"/>
    </row>
    <row r="1467" spans="1:18" s="337" customFormat="1" ht="13.5" customHeight="1">
      <c r="A1467" s="338"/>
      <c r="B1467" s="338"/>
      <c r="C1467" s="339"/>
      <c r="D1467" s="338"/>
      <c r="E1467" s="340"/>
      <c r="F1467" s="271"/>
      <c r="G1467" s="932"/>
      <c r="H1467" s="932"/>
      <c r="I1467" s="932"/>
      <c r="J1467" s="932"/>
      <c r="K1467" s="932"/>
      <c r="L1467" s="933"/>
      <c r="M1467" s="933"/>
      <c r="N1467" s="933"/>
      <c r="O1467" s="933"/>
      <c r="P1467" s="933"/>
      <c r="Q1467" s="933"/>
      <c r="R1467" s="933"/>
    </row>
    <row r="1468" spans="1:18" s="337" customFormat="1" ht="13.5" customHeight="1">
      <c r="A1468" s="338"/>
      <c r="B1468" s="338"/>
      <c r="C1468" s="339"/>
      <c r="D1468" s="338"/>
      <c r="E1468" s="340"/>
      <c r="F1468" s="271"/>
      <c r="G1468" s="932"/>
      <c r="H1468" s="932"/>
      <c r="I1468" s="932"/>
      <c r="J1468" s="932"/>
      <c r="K1468" s="932"/>
      <c r="L1468" s="933"/>
      <c r="M1468" s="933"/>
      <c r="N1468" s="933"/>
      <c r="O1468" s="933"/>
      <c r="P1468" s="933"/>
      <c r="Q1468" s="933"/>
      <c r="R1468" s="933"/>
    </row>
    <row r="1469" spans="1:18" s="337" customFormat="1" ht="13.5" customHeight="1">
      <c r="A1469" s="338"/>
      <c r="B1469" s="338"/>
      <c r="C1469" s="339"/>
      <c r="D1469" s="338"/>
      <c r="E1469" s="340"/>
      <c r="F1469" s="271"/>
      <c r="G1469" s="932"/>
      <c r="H1469" s="932"/>
      <c r="I1469" s="932"/>
      <c r="J1469" s="932"/>
      <c r="K1469" s="932"/>
      <c r="L1469" s="933"/>
      <c r="M1469" s="933"/>
      <c r="N1469" s="933"/>
      <c r="O1469" s="933"/>
      <c r="P1469" s="933"/>
      <c r="Q1469" s="933"/>
      <c r="R1469" s="933"/>
    </row>
    <row r="1470" spans="1:18" s="337" customFormat="1" ht="13.5" customHeight="1">
      <c r="A1470" s="338"/>
      <c r="B1470" s="338"/>
      <c r="C1470" s="339"/>
      <c r="D1470" s="338"/>
      <c r="E1470" s="340"/>
      <c r="F1470" s="271"/>
      <c r="G1470" s="932"/>
      <c r="H1470" s="932"/>
      <c r="I1470" s="932"/>
      <c r="J1470" s="932"/>
      <c r="K1470" s="932"/>
      <c r="L1470" s="933"/>
      <c r="M1470" s="933"/>
      <c r="N1470" s="933"/>
      <c r="O1470" s="933"/>
      <c r="P1470" s="933"/>
      <c r="Q1470" s="933"/>
      <c r="R1470" s="933"/>
    </row>
    <row r="1471" spans="1:18" s="337" customFormat="1" ht="13.5" customHeight="1">
      <c r="A1471" s="338"/>
      <c r="B1471" s="338"/>
      <c r="C1471" s="339"/>
      <c r="D1471" s="338"/>
      <c r="E1471" s="340"/>
      <c r="F1471" s="271"/>
      <c r="G1471" s="932"/>
      <c r="H1471" s="932"/>
      <c r="I1471" s="932"/>
      <c r="J1471" s="932"/>
      <c r="K1471" s="932"/>
      <c r="L1471" s="933"/>
      <c r="M1471" s="933"/>
      <c r="N1471" s="933"/>
      <c r="O1471" s="933"/>
      <c r="P1471" s="933"/>
      <c r="Q1471" s="933"/>
      <c r="R1471" s="933"/>
    </row>
    <row r="1472" spans="1:18" s="337" customFormat="1" ht="13.5" customHeight="1">
      <c r="A1472" s="338"/>
      <c r="B1472" s="338"/>
      <c r="C1472" s="339"/>
      <c r="D1472" s="338"/>
      <c r="E1472" s="340"/>
      <c r="F1472" s="271"/>
      <c r="G1472" s="932"/>
      <c r="H1472" s="932"/>
      <c r="I1472" s="932"/>
      <c r="J1472" s="932"/>
      <c r="K1472" s="932"/>
      <c r="L1472" s="933"/>
      <c r="M1472" s="933"/>
      <c r="N1472" s="933"/>
      <c r="O1472" s="933"/>
      <c r="P1472" s="933"/>
      <c r="Q1472" s="933"/>
      <c r="R1472" s="933"/>
    </row>
    <row r="1473" spans="1:18" s="337" customFormat="1" ht="13.5" customHeight="1">
      <c r="A1473" s="338"/>
      <c r="B1473" s="338"/>
      <c r="C1473" s="339"/>
      <c r="D1473" s="338"/>
      <c r="E1473" s="340"/>
      <c r="F1473" s="271"/>
      <c r="G1473" s="932"/>
      <c r="H1473" s="932"/>
      <c r="I1473" s="932"/>
      <c r="J1473" s="932"/>
      <c r="K1473" s="932"/>
      <c r="L1473" s="933"/>
      <c r="M1473" s="933"/>
      <c r="N1473" s="933"/>
      <c r="O1473" s="933"/>
      <c r="P1473" s="933"/>
      <c r="Q1473" s="933"/>
      <c r="R1473" s="933"/>
    </row>
    <row r="1474" spans="1:18" s="337" customFormat="1" ht="13.5" customHeight="1">
      <c r="A1474" s="338"/>
      <c r="B1474" s="338"/>
      <c r="C1474" s="339"/>
      <c r="D1474" s="338"/>
      <c r="E1474" s="340"/>
      <c r="F1474" s="271"/>
      <c r="G1474" s="932"/>
      <c r="H1474" s="932"/>
      <c r="I1474" s="932"/>
      <c r="J1474" s="932"/>
      <c r="K1474" s="932"/>
      <c r="L1474" s="933"/>
      <c r="M1474" s="933"/>
      <c r="N1474" s="933"/>
      <c r="O1474" s="933"/>
      <c r="P1474" s="933"/>
      <c r="Q1474" s="933"/>
      <c r="R1474" s="933"/>
    </row>
    <row r="1475" spans="1:18" s="337" customFormat="1" ht="13.5" customHeight="1">
      <c r="A1475" s="338"/>
      <c r="B1475" s="338"/>
      <c r="C1475" s="339"/>
      <c r="D1475" s="338"/>
      <c r="E1475" s="340"/>
      <c r="F1475" s="271"/>
      <c r="G1475" s="932"/>
      <c r="H1475" s="932"/>
      <c r="I1475" s="932"/>
      <c r="J1475" s="932"/>
      <c r="K1475" s="932"/>
      <c r="L1475" s="933"/>
      <c r="M1475" s="933"/>
      <c r="N1475" s="933"/>
      <c r="O1475" s="933"/>
      <c r="P1475" s="933"/>
      <c r="Q1475" s="933"/>
      <c r="R1475" s="933"/>
    </row>
    <row r="1476" spans="1:18" s="337" customFormat="1" ht="13.5" customHeight="1">
      <c r="A1476" s="338"/>
      <c r="B1476" s="338"/>
      <c r="C1476" s="339"/>
      <c r="D1476" s="338"/>
      <c r="E1476" s="340"/>
      <c r="F1476" s="271"/>
      <c r="G1476" s="932"/>
      <c r="H1476" s="932"/>
      <c r="I1476" s="932"/>
      <c r="J1476" s="932"/>
      <c r="K1476" s="932"/>
      <c r="L1476" s="933"/>
      <c r="M1476" s="933"/>
      <c r="N1476" s="933"/>
      <c r="O1476" s="933"/>
      <c r="P1476" s="933"/>
      <c r="Q1476" s="933"/>
      <c r="R1476" s="933"/>
    </row>
    <row r="1477" spans="1:18" s="337" customFormat="1" ht="13.5" customHeight="1">
      <c r="A1477" s="338"/>
      <c r="B1477" s="338"/>
      <c r="C1477" s="339"/>
      <c r="D1477" s="338"/>
      <c r="E1477" s="340"/>
      <c r="F1477" s="271"/>
      <c r="G1477" s="932"/>
      <c r="H1477" s="932"/>
      <c r="I1477" s="932"/>
      <c r="J1477" s="932"/>
      <c r="K1477" s="932"/>
      <c r="L1477" s="933"/>
      <c r="M1477" s="933"/>
      <c r="N1477" s="933"/>
      <c r="O1477" s="933"/>
      <c r="P1477" s="933"/>
      <c r="Q1477" s="933"/>
      <c r="R1477" s="933"/>
    </row>
    <row r="1478" spans="1:18" s="337" customFormat="1" ht="13.5" customHeight="1">
      <c r="A1478" s="338"/>
      <c r="B1478" s="338"/>
      <c r="C1478" s="339"/>
      <c r="D1478" s="338"/>
      <c r="E1478" s="340"/>
      <c r="F1478" s="271"/>
      <c r="G1478" s="932"/>
      <c r="H1478" s="932"/>
      <c r="I1478" s="932"/>
      <c r="J1478" s="932"/>
      <c r="K1478" s="932"/>
      <c r="L1478" s="933"/>
      <c r="M1478" s="933"/>
      <c r="N1478" s="933"/>
      <c r="O1478" s="933"/>
      <c r="P1478" s="933"/>
      <c r="Q1478" s="933"/>
      <c r="R1478" s="933"/>
    </row>
    <row r="1479" spans="1:18" s="337" customFormat="1" ht="13.5" customHeight="1">
      <c r="A1479" s="338"/>
      <c r="B1479" s="338"/>
      <c r="C1479" s="339"/>
      <c r="D1479" s="338"/>
      <c r="E1479" s="340"/>
      <c r="F1479" s="271"/>
      <c r="G1479" s="932"/>
      <c r="H1479" s="932"/>
      <c r="I1479" s="932"/>
      <c r="J1479" s="932"/>
      <c r="K1479" s="932"/>
      <c r="L1479" s="933"/>
      <c r="M1479" s="933"/>
      <c r="N1479" s="933"/>
      <c r="O1479" s="933"/>
      <c r="P1479" s="933"/>
      <c r="Q1479" s="933"/>
      <c r="R1479" s="933"/>
    </row>
    <row r="1480" spans="1:18" s="337" customFormat="1" ht="13.5" customHeight="1">
      <c r="A1480" s="338"/>
      <c r="B1480" s="338"/>
      <c r="C1480" s="339"/>
      <c r="D1480" s="338"/>
      <c r="E1480" s="340"/>
      <c r="F1480" s="271"/>
      <c r="G1480" s="932"/>
      <c r="H1480" s="932"/>
      <c r="I1480" s="932"/>
      <c r="J1480" s="932"/>
      <c r="K1480" s="932"/>
      <c r="L1480" s="933"/>
      <c r="M1480" s="933"/>
      <c r="N1480" s="933"/>
      <c r="O1480" s="933"/>
      <c r="P1480" s="933"/>
      <c r="Q1480" s="933"/>
      <c r="R1480" s="933"/>
    </row>
    <row r="1481" spans="1:18" s="337" customFormat="1" ht="13.5" customHeight="1">
      <c r="A1481" s="338"/>
      <c r="B1481" s="338"/>
      <c r="C1481" s="339"/>
      <c r="D1481" s="338"/>
      <c r="E1481" s="340"/>
      <c r="F1481" s="271"/>
      <c r="G1481" s="932"/>
      <c r="H1481" s="932"/>
      <c r="I1481" s="932"/>
      <c r="J1481" s="932"/>
      <c r="K1481" s="932"/>
      <c r="L1481" s="933"/>
      <c r="M1481" s="933"/>
      <c r="N1481" s="933"/>
      <c r="O1481" s="933"/>
      <c r="P1481" s="933"/>
      <c r="Q1481" s="933"/>
      <c r="R1481" s="933"/>
    </row>
    <row r="1482" spans="1:18" s="337" customFormat="1" ht="13.5" customHeight="1">
      <c r="A1482" s="338"/>
      <c r="B1482" s="338"/>
      <c r="C1482" s="339"/>
      <c r="D1482" s="338"/>
      <c r="E1482" s="340"/>
      <c r="F1482" s="271"/>
      <c r="G1482" s="932"/>
      <c r="H1482" s="932"/>
      <c r="I1482" s="932"/>
      <c r="J1482" s="932"/>
      <c r="K1482" s="932"/>
      <c r="L1482" s="933"/>
      <c r="M1482" s="933"/>
      <c r="N1482" s="933"/>
      <c r="O1482" s="933"/>
      <c r="P1482" s="933"/>
      <c r="Q1482" s="933"/>
      <c r="R1482" s="933"/>
    </row>
    <row r="1483" spans="1:18" s="337" customFormat="1" ht="13.5" customHeight="1">
      <c r="A1483" s="338"/>
      <c r="B1483" s="338"/>
      <c r="C1483" s="339"/>
      <c r="D1483" s="338"/>
      <c r="E1483" s="340"/>
      <c r="F1483" s="271"/>
      <c r="G1483" s="932"/>
      <c r="H1483" s="932"/>
      <c r="I1483" s="932"/>
      <c r="J1483" s="932"/>
      <c r="K1483" s="932"/>
      <c r="L1483" s="933"/>
      <c r="M1483" s="933"/>
      <c r="N1483" s="933"/>
      <c r="O1483" s="933"/>
      <c r="P1483" s="933"/>
      <c r="Q1483" s="933"/>
      <c r="R1483" s="933"/>
    </row>
    <row r="1484" spans="1:18" s="337" customFormat="1" ht="13.5" customHeight="1">
      <c r="A1484" s="338"/>
      <c r="B1484" s="338"/>
      <c r="C1484" s="339"/>
      <c r="D1484" s="338"/>
      <c r="E1484" s="340"/>
      <c r="F1484" s="271"/>
      <c r="G1484" s="932"/>
      <c r="H1484" s="932"/>
      <c r="I1484" s="932"/>
      <c r="J1484" s="932"/>
      <c r="K1484" s="932"/>
      <c r="L1484" s="933"/>
      <c r="M1484" s="933"/>
      <c r="N1484" s="933"/>
      <c r="O1484" s="933"/>
      <c r="P1484" s="933"/>
      <c r="Q1484" s="933"/>
      <c r="R1484" s="933"/>
    </row>
    <row r="1485" spans="1:18" s="337" customFormat="1" ht="13.5" customHeight="1">
      <c r="A1485" s="338"/>
      <c r="B1485" s="338"/>
      <c r="C1485" s="339"/>
      <c r="D1485" s="338"/>
      <c r="E1485" s="340"/>
      <c r="F1485" s="271"/>
      <c r="G1485" s="932"/>
      <c r="H1485" s="932"/>
      <c r="I1485" s="932"/>
      <c r="J1485" s="932"/>
      <c r="K1485" s="932"/>
      <c r="L1485" s="933"/>
      <c r="M1485" s="933"/>
      <c r="N1485" s="933"/>
      <c r="O1485" s="933"/>
      <c r="P1485" s="933"/>
      <c r="Q1485" s="933"/>
      <c r="R1485" s="933"/>
    </row>
    <row r="1486" spans="1:18" s="337" customFormat="1" ht="13.5" customHeight="1">
      <c r="A1486" s="338"/>
      <c r="B1486" s="338"/>
      <c r="C1486" s="339"/>
      <c r="D1486" s="338"/>
      <c r="E1486" s="340"/>
      <c r="F1486" s="271"/>
      <c r="G1486" s="932"/>
      <c r="H1486" s="932"/>
      <c r="I1486" s="932"/>
      <c r="J1486" s="932"/>
      <c r="K1486" s="932"/>
      <c r="L1486" s="933"/>
      <c r="M1486" s="933"/>
      <c r="N1486" s="933"/>
      <c r="O1486" s="933"/>
      <c r="P1486" s="933"/>
      <c r="Q1486" s="933"/>
      <c r="R1486" s="933"/>
    </row>
    <row r="1487" spans="1:18" s="337" customFormat="1" ht="13.5" customHeight="1">
      <c r="A1487" s="338"/>
      <c r="B1487" s="338"/>
      <c r="C1487" s="339"/>
      <c r="D1487" s="338"/>
      <c r="E1487" s="340"/>
      <c r="F1487" s="271"/>
      <c r="G1487" s="932"/>
      <c r="H1487" s="932"/>
      <c r="I1487" s="932"/>
      <c r="J1487" s="932"/>
      <c r="K1487" s="932"/>
      <c r="L1487" s="933"/>
      <c r="M1487" s="933"/>
      <c r="N1487" s="933"/>
      <c r="O1487" s="933"/>
      <c r="P1487" s="933"/>
      <c r="Q1487" s="933"/>
      <c r="R1487" s="933"/>
    </row>
    <row r="1488" spans="1:18" s="337" customFormat="1" ht="13.5" customHeight="1">
      <c r="A1488" s="338"/>
      <c r="B1488" s="338"/>
      <c r="C1488" s="339"/>
      <c r="D1488" s="338"/>
      <c r="E1488" s="340"/>
      <c r="F1488" s="271"/>
      <c r="G1488" s="932"/>
      <c r="H1488" s="932"/>
      <c r="I1488" s="932"/>
      <c r="J1488" s="932"/>
      <c r="K1488" s="932"/>
      <c r="L1488" s="933"/>
      <c r="M1488" s="933"/>
      <c r="N1488" s="933"/>
      <c r="O1488" s="933"/>
      <c r="P1488" s="933"/>
      <c r="Q1488" s="933"/>
      <c r="R1488" s="933"/>
    </row>
    <row r="1489" spans="1:18" s="337" customFormat="1" ht="13.5" customHeight="1">
      <c r="A1489" s="338"/>
      <c r="B1489" s="338"/>
      <c r="C1489" s="339"/>
      <c r="D1489" s="338"/>
      <c r="E1489" s="340"/>
      <c r="F1489" s="271"/>
      <c r="G1489" s="932"/>
      <c r="H1489" s="932"/>
      <c r="I1489" s="932"/>
      <c r="J1489" s="932"/>
      <c r="K1489" s="932"/>
      <c r="L1489" s="933"/>
      <c r="M1489" s="933"/>
      <c r="N1489" s="933"/>
      <c r="O1489" s="933"/>
      <c r="P1489" s="933"/>
      <c r="Q1489" s="933"/>
      <c r="R1489" s="933"/>
    </row>
    <row r="1490" spans="1:18" s="337" customFormat="1" ht="13.5" customHeight="1">
      <c r="A1490" s="338"/>
      <c r="B1490" s="338"/>
      <c r="C1490" s="339"/>
      <c r="D1490" s="338"/>
      <c r="E1490" s="340"/>
      <c r="F1490" s="271"/>
      <c r="G1490" s="932"/>
      <c r="H1490" s="932"/>
      <c r="I1490" s="932"/>
      <c r="J1490" s="932"/>
      <c r="K1490" s="932"/>
      <c r="L1490" s="933"/>
      <c r="M1490" s="933"/>
      <c r="N1490" s="933"/>
      <c r="O1490" s="933"/>
      <c r="P1490" s="933"/>
      <c r="Q1490" s="933"/>
      <c r="R1490" s="933"/>
    </row>
    <row r="1491" spans="1:18" s="337" customFormat="1" ht="13.5" customHeight="1">
      <c r="A1491" s="338"/>
      <c r="B1491" s="338"/>
      <c r="C1491" s="339"/>
      <c r="D1491" s="338"/>
      <c r="E1491" s="340"/>
      <c r="F1491" s="271"/>
      <c r="G1491" s="932"/>
      <c r="H1491" s="932"/>
      <c r="I1491" s="932"/>
      <c r="J1491" s="932"/>
      <c r="K1491" s="932"/>
      <c r="L1491" s="933"/>
      <c r="M1491" s="933"/>
      <c r="N1491" s="933"/>
      <c r="O1491" s="933"/>
      <c r="P1491" s="933"/>
      <c r="Q1491" s="933"/>
      <c r="R1491" s="933"/>
    </row>
    <row r="1492" spans="1:18" s="337" customFormat="1" ht="13.5" customHeight="1">
      <c r="A1492" s="338"/>
      <c r="B1492" s="338"/>
      <c r="C1492" s="339"/>
      <c r="D1492" s="338"/>
      <c r="E1492" s="340"/>
      <c r="F1492" s="271"/>
      <c r="G1492" s="932"/>
      <c r="H1492" s="932"/>
      <c r="I1492" s="932"/>
      <c r="J1492" s="932"/>
      <c r="K1492" s="932"/>
      <c r="L1492" s="933"/>
      <c r="M1492" s="933"/>
      <c r="N1492" s="933"/>
      <c r="O1492" s="933"/>
      <c r="P1492" s="933"/>
      <c r="Q1492" s="933"/>
      <c r="R1492" s="933"/>
    </row>
    <row r="1493" spans="1:18" s="337" customFormat="1" ht="13.5" customHeight="1">
      <c r="A1493" s="338"/>
      <c r="B1493" s="338"/>
      <c r="C1493" s="339"/>
      <c r="D1493" s="338"/>
      <c r="E1493" s="340"/>
      <c r="F1493" s="271"/>
      <c r="G1493" s="932"/>
      <c r="H1493" s="932"/>
      <c r="I1493" s="932"/>
      <c r="J1493" s="932"/>
      <c r="K1493" s="932"/>
      <c r="L1493" s="933"/>
      <c r="M1493" s="933"/>
      <c r="N1493" s="933"/>
      <c r="O1493" s="933"/>
      <c r="P1493" s="933"/>
      <c r="Q1493" s="933"/>
      <c r="R1493" s="933"/>
    </row>
    <row r="1494" spans="1:18" s="337" customFormat="1" ht="13.5" customHeight="1">
      <c r="A1494" s="338"/>
      <c r="B1494" s="338"/>
      <c r="C1494" s="339"/>
      <c r="D1494" s="338"/>
      <c r="E1494" s="340"/>
      <c r="F1494" s="271"/>
      <c r="G1494" s="932"/>
      <c r="H1494" s="932"/>
      <c r="I1494" s="932"/>
      <c r="J1494" s="932"/>
      <c r="K1494" s="932"/>
      <c r="L1494" s="933"/>
      <c r="M1494" s="933"/>
      <c r="N1494" s="933"/>
      <c r="O1494" s="933"/>
      <c r="P1494" s="933"/>
      <c r="Q1494" s="933"/>
      <c r="R1494" s="933"/>
    </row>
    <row r="1495" spans="1:18" s="337" customFormat="1" ht="13.5" customHeight="1">
      <c r="A1495" s="338"/>
      <c r="B1495" s="338"/>
      <c r="C1495" s="339"/>
      <c r="D1495" s="338"/>
      <c r="E1495" s="340"/>
      <c r="F1495" s="271"/>
      <c r="G1495" s="932"/>
      <c r="H1495" s="932"/>
      <c r="I1495" s="932"/>
      <c r="J1495" s="932"/>
      <c r="K1495" s="932"/>
      <c r="L1495" s="933"/>
      <c r="M1495" s="933"/>
      <c r="N1495" s="933"/>
      <c r="O1495" s="933"/>
      <c r="P1495" s="933"/>
      <c r="Q1495" s="933"/>
      <c r="R1495" s="933"/>
    </row>
    <row r="1496" spans="1:18" s="337" customFormat="1" ht="13.5" customHeight="1">
      <c r="A1496" s="338"/>
      <c r="B1496" s="338"/>
      <c r="C1496" s="339"/>
      <c r="D1496" s="338"/>
      <c r="E1496" s="340"/>
      <c r="F1496" s="271"/>
      <c r="G1496" s="932"/>
      <c r="H1496" s="932"/>
      <c r="I1496" s="932"/>
      <c r="J1496" s="932"/>
      <c r="K1496" s="932"/>
      <c r="L1496" s="933"/>
      <c r="M1496" s="933"/>
      <c r="N1496" s="933"/>
      <c r="O1496" s="933"/>
      <c r="P1496" s="933"/>
      <c r="Q1496" s="933"/>
      <c r="R1496" s="933"/>
    </row>
    <row r="1497" spans="1:18" s="337" customFormat="1" ht="13.5" customHeight="1">
      <c r="A1497" s="338"/>
      <c r="B1497" s="338"/>
      <c r="C1497" s="339"/>
      <c r="D1497" s="338"/>
      <c r="E1497" s="340"/>
      <c r="F1497" s="271"/>
      <c r="G1497" s="932"/>
      <c r="H1497" s="932"/>
      <c r="I1497" s="932"/>
      <c r="J1497" s="932"/>
      <c r="K1497" s="932"/>
      <c r="L1497" s="933"/>
      <c r="M1497" s="933"/>
      <c r="N1497" s="933"/>
      <c r="O1497" s="933"/>
      <c r="P1497" s="933"/>
      <c r="Q1497" s="933"/>
      <c r="R1497" s="933"/>
    </row>
    <row r="1498" spans="1:18" s="337" customFormat="1" ht="13.5" customHeight="1">
      <c r="A1498" s="338"/>
      <c r="B1498" s="338"/>
      <c r="C1498" s="339"/>
      <c r="D1498" s="338"/>
      <c r="E1498" s="340"/>
      <c r="F1498" s="271"/>
      <c r="G1498" s="932"/>
      <c r="H1498" s="932"/>
      <c r="I1498" s="932"/>
      <c r="J1498" s="932"/>
      <c r="K1498" s="932"/>
      <c r="L1498" s="933"/>
      <c r="M1498" s="933"/>
      <c r="N1498" s="933"/>
      <c r="O1498" s="933"/>
      <c r="P1498" s="933"/>
      <c r="Q1498" s="933"/>
      <c r="R1498" s="933"/>
    </row>
    <row r="1499" spans="1:18" s="337" customFormat="1" ht="13.5" customHeight="1">
      <c r="A1499" s="338"/>
      <c r="B1499" s="338"/>
      <c r="C1499" s="339"/>
      <c r="D1499" s="338"/>
      <c r="E1499" s="340"/>
      <c r="F1499" s="271"/>
      <c r="G1499" s="932"/>
      <c r="H1499" s="932"/>
      <c r="I1499" s="932"/>
      <c r="J1499" s="932"/>
      <c r="K1499" s="932"/>
      <c r="L1499" s="933"/>
      <c r="M1499" s="933"/>
      <c r="N1499" s="933"/>
      <c r="O1499" s="933"/>
      <c r="P1499" s="933"/>
      <c r="Q1499" s="933"/>
      <c r="R1499" s="933"/>
    </row>
    <row r="1500" spans="1:18" s="337" customFormat="1" ht="13.5" customHeight="1">
      <c r="A1500" s="338"/>
      <c r="B1500" s="338"/>
      <c r="C1500" s="339"/>
      <c r="D1500" s="338"/>
      <c r="E1500" s="340"/>
      <c r="F1500" s="271"/>
      <c r="G1500" s="932"/>
      <c r="H1500" s="932"/>
      <c r="I1500" s="932"/>
      <c r="J1500" s="932"/>
      <c r="K1500" s="932"/>
      <c r="L1500" s="933"/>
      <c r="M1500" s="933"/>
      <c r="N1500" s="933"/>
      <c r="O1500" s="933"/>
      <c r="P1500" s="933"/>
      <c r="Q1500" s="933"/>
      <c r="R1500" s="933"/>
    </row>
    <row r="1501" spans="1:18" s="337" customFormat="1" ht="13.5" customHeight="1">
      <c r="A1501" s="338"/>
      <c r="B1501" s="338"/>
      <c r="C1501" s="339"/>
      <c r="D1501" s="338"/>
      <c r="E1501" s="340"/>
      <c r="F1501" s="271"/>
      <c r="G1501" s="932"/>
      <c r="H1501" s="932"/>
      <c r="I1501" s="932"/>
      <c r="J1501" s="932"/>
      <c r="K1501" s="932"/>
      <c r="L1501" s="933"/>
      <c r="M1501" s="933"/>
      <c r="N1501" s="933"/>
      <c r="O1501" s="933"/>
      <c r="P1501" s="933"/>
      <c r="Q1501" s="933"/>
      <c r="R1501" s="933"/>
    </row>
    <row r="1502" spans="1:18" s="337" customFormat="1" ht="13.5" customHeight="1">
      <c r="A1502" s="338"/>
      <c r="B1502" s="338"/>
      <c r="C1502" s="339"/>
      <c r="D1502" s="338"/>
      <c r="E1502" s="340"/>
      <c r="F1502" s="271"/>
      <c r="G1502" s="932"/>
      <c r="H1502" s="932"/>
      <c r="I1502" s="932"/>
      <c r="J1502" s="932"/>
      <c r="K1502" s="932"/>
      <c r="L1502" s="933"/>
      <c r="M1502" s="933"/>
      <c r="N1502" s="933"/>
      <c r="O1502" s="933"/>
      <c r="P1502" s="933"/>
      <c r="Q1502" s="933"/>
      <c r="R1502" s="933"/>
    </row>
    <row r="1503" spans="1:18" s="337" customFormat="1" ht="13.5" customHeight="1">
      <c r="A1503" s="338"/>
      <c r="B1503" s="338"/>
      <c r="C1503" s="339"/>
      <c r="D1503" s="338"/>
      <c r="E1503" s="340"/>
      <c r="F1503" s="271"/>
      <c r="G1503" s="932"/>
      <c r="H1503" s="932"/>
      <c r="I1503" s="932"/>
      <c r="J1503" s="932"/>
      <c r="K1503" s="932"/>
      <c r="L1503" s="933"/>
      <c r="M1503" s="933"/>
      <c r="N1503" s="933"/>
      <c r="O1503" s="933"/>
      <c r="P1503" s="933"/>
      <c r="Q1503" s="933"/>
      <c r="R1503" s="933"/>
    </row>
    <row r="1504" spans="1:18" s="337" customFormat="1" ht="13.5" customHeight="1">
      <c r="A1504" s="338"/>
      <c r="B1504" s="338"/>
      <c r="C1504" s="339"/>
      <c r="D1504" s="338"/>
      <c r="E1504" s="340"/>
      <c r="F1504" s="271"/>
      <c r="G1504" s="932"/>
      <c r="H1504" s="932"/>
      <c r="I1504" s="932"/>
      <c r="J1504" s="932"/>
      <c r="K1504" s="932"/>
      <c r="L1504" s="933"/>
      <c r="M1504" s="933"/>
      <c r="N1504" s="933"/>
      <c r="O1504" s="933"/>
      <c r="P1504" s="933"/>
      <c r="Q1504" s="933"/>
      <c r="R1504" s="933"/>
    </row>
    <row r="1505" spans="1:18" s="337" customFormat="1" ht="13.5" customHeight="1">
      <c r="A1505" s="338"/>
      <c r="B1505" s="338"/>
      <c r="C1505" s="339"/>
      <c r="D1505" s="338"/>
      <c r="E1505" s="340"/>
      <c r="F1505" s="271"/>
      <c r="G1505" s="932"/>
      <c r="H1505" s="932"/>
      <c r="I1505" s="932"/>
      <c r="J1505" s="932"/>
      <c r="K1505" s="932"/>
      <c r="L1505" s="933"/>
      <c r="M1505" s="933"/>
      <c r="N1505" s="933"/>
      <c r="O1505" s="933"/>
      <c r="P1505" s="933"/>
      <c r="Q1505" s="933"/>
      <c r="R1505" s="933"/>
    </row>
    <row r="1506" spans="1:18" s="337" customFormat="1" ht="13.5" customHeight="1">
      <c r="A1506" s="338"/>
      <c r="B1506" s="338"/>
      <c r="C1506" s="339"/>
      <c r="D1506" s="338"/>
      <c r="E1506" s="340"/>
      <c r="F1506" s="271"/>
      <c r="G1506" s="932"/>
      <c r="H1506" s="932"/>
      <c r="I1506" s="932"/>
      <c r="J1506" s="932"/>
      <c r="K1506" s="932"/>
      <c r="L1506" s="933"/>
      <c r="M1506" s="933"/>
      <c r="N1506" s="933"/>
      <c r="O1506" s="933"/>
      <c r="P1506" s="933"/>
      <c r="Q1506" s="933"/>
      <c r="R1506" s="933"/>
    </row>
    <row r="1507" spans="1:18" s="337" customFormat="1" ht="13.5" customHeight="1">
      <c r="A1507" s="338"/>
      <c r="B1507" s="338"/>
      <c r="C1507" s="339"/>
      <c r="D1507" s="338"/>
      <c r="E1507" s="340"/>
      <c r="F1507" s="271"/>
      <c r="G1507" s="932"/>
      <c r="H1507" s="932"/>
      <c r="I1507" s="932"/>
      <c r="J1507" s="932"/>
      <c r="K1507" s="932"/>
      <c r="L1507" s="933"/>
      <c r="M1507" s="933"/>
      <c r="N1507" s="933"/>
      <c r="O1507" s="933"/>
      <c r="P1507" s="933"/>
      <c r="Q1507" s="933"/>
      <c r="R1507" s="933"/>
    </row>
    <row r="1508" spans="1:18" s="337" customFormat="1" ht="13.5" customHeight="1">
      <c r="A1508" s="338"/>
      <c r="B1508" s="338"/>
      <c r="C1508" s="339"/>
      <c r="D1508" s="338"/>
      <c r="E1508" s="340"/>
      <c r="F1508" s="271"/>
      <c r="G1508" s="932"/>
      <c r="H1508" s="932"/>
      <c r="I1508" s="932"/>
      <c r="J1508" s="932"/>
      <c r="K1508" s="932"/>
      <c r="L1508" s="933"/>
      <c r="M1508" s="933"/>
      <c r="N1508" s="933"/>
      <c r="O1508" s="933"/>
      <c r="P1508" s="933"/>
      <c r="Q1508" s="933"/>
      <c r="R1508" s="933"/>
    </row>
    <row r="1509" spans="1:18" s="337" customFormat="1" ht="13.5" customHeight="1">
      <c r="A1509" s="338"/>
      <c r="B1509" s="338"/>
      <c r="C1509" s="339"/>
      <c r="D1509" s="338"/>
      <c r="E1509" s="340"/>
      <c r="F1509" s="271"/>
      <c r="G1509" s="932"/>
      <c r="H1509" s="932"/>
      <c r="I1509" s="932"/>
      <c r="J1509" s="932"/>
      <c r="K1509" s="932"/>
      <c r="L1509" s="933"/>
      <c r="M1509" s="933"/>
      <c r="N1509" s="933"/>
      <c r="O1509" s="933"/>
      <c r="P1509" s="933"/>
      <c r="Q1509" s="933"/>
      <c r="R1509" s="933"/>
    </row>
    <row r="1510" spans="1:18" s="337" customFormat="1" ht="13.5" customHeight="1">
      <c r="A1510" s="338"/>
      <c r="B1510" s="338"/>
      <c r="C1510" s="339"/>
      <c r="D1510" s="338"/>
      <c r="E1510" s="340"/>
      <c r="F1510" s="271"/>
      <c r="G1510" s="932"/>
      <c r="H1510" s="932"/>
      <c r="I1510" s="932"/>
      <c r="J1510" s="932"/>
      <c r="K1510" s="932"/>
      <c r="L1510" s="933"/>
      <c r="M1510" s="933"/>
      <c r="N1510" s="933"/>
      <c r="O1510" s="933"/>
      <c r="P1510" s="933"/>
      <c r="Q1510" s="933"/>
      <c r="R1510" s="933"/>
    </row>
    <row r="1511" spans="1:18" s="337" customFormat="1" ht="13.5" customHeight="1">
      <c r="A1511" s="338"/>
      <c r="B1511" s="338"/>
      <c r="C1511" s="339"/>
      <c r="D1511" s="338"/>
      <c r="E1511" s="340"/>
      <c r="F1511" s="271"/>
      <c r="G1511" s="932"/>
      <c r="H1511" s="932"/>
      <c r="I1511" s="932"/>
      <c r="J1511" s="932"/>
      <c r="K1511" s="932"/>
      <c r="L1511" s="933"/>
      <c r="M1511" s="933"/>
      <c r="N1511" s="933"/>
      <c r="O1511" s="933"/>
      <c r="P1511" s="933"/>
      <c r="Q1511" s="933"/>
      <c r="R1511" s="933"/>
    </row>
    <row r="1512" spans="1:18" s="337" customFormat="1" ht="13.5" customHeight="1">
      <c r="A1512" s="338"/>
      <c r="B1512" s="338"/>
      <c r="C1512" s="339"/>
      <c r="D1512" s="338"/>
      <c r="E1512" s="340"/>
      <c r="F1512" s="271"/>
      <c r="G1512" s="932"/>
      <c r="H1512" s="932"/>
      <c r="I1512" s="932"/>
      <c r="J1512" s="932"/>
      <c r="K1512" s="932"/>
      <c r="L1512" s="933"/>
      <c r="M1512" s="933"/>
      <c r="N1512" s="933"/>
      <c r="O1512" s="933"/>
      <c r="P1512" s="933"/>
      <c r="Q1512" s="933"/>
      <c r="R1512" s="933"/>
    </row>
    <row r="1513" spans="1:18" s="337" customFormat="1" ht="13.5" customHeight="1">
      <c r="A1513" s="338"/>
      <c r="B1513" s="338"/>
      <c r="C1513" s="339"/>
      <c r="D1513" s="338"/>
      <c r="E1513" s="340"/>
      <c r="F1513" s="271"/>
      <c r="G1513" s="932"/>
      <c r="H1513" s="932"/>
      <c r="I1513" s="932"/>
      <c r="J1513" s="932"/>
      <c r="K1513" s="932"/>
      <c r="L1513" s="933"/>
      <c r="M1513" s="933"/>
      <c r="N1513" s="933"/>
      <c r="O1513" s="933"/>
      <c r="P1513" s="933"/>
      <c r="Q1513" s="933"/>
      <c r="R1513" s="933"/>
    </row>
    <row r="1514" spans="1:18" s="337" customFormat="1" ht="13.5" customHeight="1">
      <c r="A1514" s="338"/>
      <c r="B1514" s="338"/>
      <c r="C1514" s="339"/>
      <c r="D1514" s="338"/>
      <c r="E1514" s="340"/>
      <c r="F1514" s="271"/>
      <c r="G1514" s="932"/>
      <c r="H1514" s="932"/>
      <c r="I1514" s="932"/>
      <c r="J1514" s="932"/>
      <c r="K1514" s="932"/>
      <c r="L1514" s="933"/>
      <c r="M1514" s="933"/>
      <c r="N1514" s="933"/>
      <c r="O1514" s="933"/>
      <c r="P1514" s="933"/>
      <c r="Q1514" s="933"/>
      <c r="R1514" s="933"/>
    </row>
    <row r="1515" spans="1:18" s="337" customFormat="1" ht="13.5" customHeight="1">
      <c r="A1515" s="338"/>
      <c r="B1515" s="338"/>
      <c r="C1515" s="339"/>
      <c r="D1515" s="338"/>
      <c r="E1515" s="340"/>
      <c r="F1515" s="271"/>
      <c r="G1515" s="932"/>
      <c r="H1515" s="932"/>
      <c r="I1515" s="932"/>
      <c r="J1515" s="932"/>
      <c r="K1515" s="932"/>
      <c r="L1515" s="933"/>
      <c r="M1515" s="933"/>
      <c r="N1515" s="933"/>
      <c r="O1515" s="933"/>
      <c r="P1515" s="933"/>
      <c r="Q1515" s="933"/>
      <c r="R1515" s="933"/>
    </row>
    <row r="1516" spans="1:18" s="337" customFormat="1" ht="13.5" customHeight="1">
      <c r="A1516" s="338"/>
      <c r="B1516" s="338"/>
      <c r="C1516" s="339"/>
      <c r="D1516" s="338"/>
      <c r="E1516" s="340"/>
      <c r="F1516" s="271"/>
      <c r="G1516" s="932"/>
      <c r="H1516" s="932"/>
      <c r="I1516" s="932"/>
      <c r="J1516" s="932"/>
      <c r="K1516" s="932"/>
      <c r="L1516" s="933"/>
      <c r="M1516" s="933"/>
      <c r="N1516" s="933"/>
      <c r="O1516" s="933"/>
      <c r="P1516" s="933"/>
      <c r="Q1516" s="933"/>
      <c r="R1516" s="933"/>
    </row>
    <row r="1517" spans="1:18" s="337" customFormat="1" ht="13.5" customHeight="1">
      <c r="A1517" s="338"/>
      <c r="B1517" s="338"/>
      <c r="C1517" s="339"/>
      <c r="D1517" s="338"/>
      <c r="E1517" s="340"/>
      <c r="F1517" s="271"/>
      <c r="G1517" s="932"/>
      <c r="H1517" s="932"/>
      <c r="I1517" s="932"/>
      <c r="J1517" s="932"/>
      <c r="K1517" s="932"/>
      <c r="L1517" s="933"/>
      <c r="M1517" s="933"/>
      <c r="N1517" s="933"/>
      <c r="O1517" s="933"/>
      <c r="P1517" s="933"/>
      <c r="Q1517" s="933"/>
      <c r="R1517" s="933"/>
    </row>
    <row r="1518" spans="1:18" s="337" customFormat="1" ht="13.5" customHeight="1">
      <c r="A1518" s="338"/>
      <c r="B1518" s="338"/>
      <c r="C1518" s="339"/>
      <c r="D1518" s="338"/>
      <c r="E1518" s="340"/>
      <c r="F1518" s="271"/>
      <c r="G1518" s="932"/>
      <c r="H1518" s="932"/>
      <c r="I1518" s="932"/>
      <c r="J1518" s="932"/>
      <c r="K1518" s="932"/>
      <c r="L1518" s="933"/>
      <c r="M1518" s="933"/>
      <c r="N1518" s="933"/>
      <c r="O1518" s="933"/>
      <c r="P1518" s="933"/>
      <c r="Q1518" s="933"/>
      <c r="R1518" s="933"/>
    </row>
    <row r="1519" spans="1:18" s="337" customFormat="1" ht="13.5" customHeight="1">
      <c r="A1519" s="338"/>
      <c r="B1519" s="338"/>
      <c r="C1519" s="339"/>
      <c r="D1519" s="338"/>
      <c r="E1519" s="340"/>
      <c r="F1519" s="271"/>
      <c r="G1519" s="932"/>
      <c r="H1519" s="932"/>
      <c r="I1519" s="932"/>
      <c r="J1519" s="932"/>
      <c r="K1519" s="932"/>
      <c r="L1519" s="933"/>
      <c r="M1519" s="933"/>
      <c r="N1519" s="933"/>
      <c r="O1519" s="933"/>
      <c r="P1519" s="933"/>
      <c r="Q1519" s="933"/>
      <c r="R1519" s="933"/>
    </row>
    <row r="1520" spans="1:18" s="337" customFormat="1" ht="13.5" customHeight="1">
      <c r="A1520" s="338"/>
      <c r="B1520" s="338"/>
      <c r="C1520" s="339"/>
      <c r="D1520" s="338"/>
      <c r="E1520" s="340"/>
      <c r="F1520" s="271"/>
      <c r="G1520" s="932"/>
      <c r="H1520" s="932"/>
      <c r="I1520" s="932"/>
      <c r="J1520" s="932"/>
      <c r="K1520" s="932"/>
      <c r="L1520" s="933"/>
      <c r="M1520" s="933"/>
      <c r="N1520" s="933"/>
      <c r="O1520" s="933"/>
      <c r="P1520" s="933"/>
      <c r="Q1520" s="933"/>
      <c r="R1520" s="933"/>
    </row>
    <row r="1521" spans="1:18" s="337" customFormat="1" ht="13.5" customHeight="1">
      <c r="A1521" s="338"/>
      <c r="B1521" s="338"/>
      <c r="C1521" s="339"/>
      <c r="D1521" s="338"/>
      <c r="E1521" s="340"/>
      <c r="F1521" s="271"/>
      <c r="G1521" s="932"/>
      <c r="H1521" s="932"/>
      <c r="I1521" s="932"/>
      <c r="J1521" s="932"/>
      <c r="K1521" s="932"/>
      <c r="L1521" s="933"/>
      <c r="M1521" s="933"/>
      <c r="N1521" s="933"/>
      <c r="O1521" s="933"/>
      <c r="P1521" s="933"/>
      <c r="Q1521" s="933"/>
      <c r="R1521" s="933"/>
    </row>
    <row r="1522" spans="1:18" s="337" customFormat="1" ht="13.5" customHeight="1">
      <c r="A1522" s="338"/>
      <c r="B1522" s="338"/>
      <c r="C1522" s="339"/>
      <c r="D1522" s="338"/>
      <c r="E1522" s="340"/>
      <c r="F1522" s="271"/>
      <c r="G1522" s="932"/>
      <c r="H1522" s="932"/>
      <c r="I1522" s="932"/>
      <c r="J1522" s="932"/>
      <c r="K1522" s="932"/>
      <c r="L1522" s="933"/>
      <c r="M1522" s="933"/>
      <c r="N1522" s="933"/>
      <c r="O1522" s="933"/>
      <c r="P1522" s="933"/>
      <c r="Q1522" s="933"/>
      <c r="R1522" s="933"/>
    </row>
    <row r="1523" spans="1:18" s="337" customFormat="1" ht="13.5" customHeight="1">
      <c r="A1523" s="338"/>
      <c r="B1523" s="338"/>
      <c r="C1523" s="339"/>
      <c r="D1523" s="338"/>
      <c r="E1523" s="340"/>
      <c r="F1523" s="271"/>
      <c r="G1523" s="932"/>
      <c r="H1523" s="932"/>
      <c r="I1523" s="932"/>
      <c r="J1523" s="932"/>
      <c r="K1523" s="932"/>
      <c r="L1523" s="933"/>
      <c r="M1523" s="933"/>
      <c r="N1523" s="933"/>
      <c r="O1523" s="933"/>
      <c r="P1523" s="933"/>
      <c r="Q1523" s="933"/>
      <c r="R1523" s="933"/>
    </row>
    <row r="1524" spans="1:18" s="337" customFormat="1" ht="13.5" customHeight="1">
      <c r="A1524" s="338"/>
      <c r="B1524" s="338"/>
      <c r="C1524" s="339"/>
      <c r="D1524" s="338"/>
      <c r="E1524" s="340"/>
      <c r="F1524" s="271"/>
      <c r="G1524" s="932"/>
      <c r="H1524" s="932"/>
      <c r="I1524" s="932"/>
      <c r="J1524" s="932"/>
      <c r="K1524" s="932"/>
      <c r="L1524" s="933"/>
      <c r="M1524" s="933"/>
      <c r="N1524" s="933"/>
      <c r="O1524" s="933"/>
      <c r="P1524" s="933"/>
      <c r="Q1524" s="933"/>
      <c r="R1524" s="933"/>
    </row>
    <row r="1525" spans="1:18" s="337" customFormat="1" ht="13.5" customHeight="1">
      <c r="A1525" s="338"/>
      <c r="B1525" s="338"/>
      <c r="C1525" s="339"/>
      <c r="D1525" s="338"/>
      <c r="E1525" s="340"/>
      <c r="F1525" s="271"/>
      <c r="G1525" s="932"/>
      <c r="H1525" s="932"/>
      <c r="I1525" s="932"/>
      <c r="J1525" s="932"/>
      <c r="K1525" s="932"/>
      <c r="L1525" s="933"/>
      <c r="M1525" s="933"/>
      <c r="N1525" s="933"/>
      <c r="O1525" s="933"/>
      <c r="P1525" s="933"/>
      <c r="Q1525" s="933"/>
      <c r="R1525" s="933"/>
    </row>
    <row r="1526" spans="1:18" s="337" customFormat="1" ht="13.5" customHeight="1">
      <c r="A1526" s="338"/>
      <c r="B1526" s="338"/>
      <c r="C1526" s="339"/>
      <c r="D1526" s="338"/>
      <c r="E1526" s="340"/>
      <c r="F1526" s="271"/>
      <c r="G1526" s="932"/>
      <c r="H1526" s="932"/>
      <c r="I1526" s="932"/>
      <c r="J1526" s="932"/>
      <c r="K1526" s="932"/>
      <c r="L1526" s="933"/>
      <c r="M1526" s="933"/>
      <c r="N1526" s="933"/>
      <c r="O1526" s="933"/>
      <c r="P1526" s="933"/>
      <c r="Q1526" s="933"/>
      <c r="R1526" s="933"/>
    </row>
    <row r="1527" spans="1:18" s="337" customFormat="1" ht="13.5" customHeight="1">
      <c r="A1527" s="338"/>
      <c r="B1527" s="338"/>
      <c r="C1527" s="339"/>
      <c r="D1527" s="338"/>
      <c r="E1527" s="340"/>
      <c r="F1527" s="271"/>
      <c r="G1527" s="932"/>
      <c r="H1527" s="932"/>
      <c r="I1527" s="932"/>
      <c r="J1527" s="932"/>
      <c r="K1527" s="932"/>
      <c r="L1527" s="933"/>
      <c r="M1527" s="933"/>
      <c r="N1527" s="933"/>
      <c r="O1527" s="933"/>
      <c r="P1527" s="933"/>
      <c r="Q1527" s="933"/>
      <c r="R1527" s="933"/>
    </row>
    <row r="1528" spans="1:18" s="337" customFormat="1" ht="13.5" customHeight="1">
      <c r="A1528" s="338"/>
      <c r="B1528" s="338"/>
      <c r="C1528" s="339"/>
      <c r="D1528" s="338"/>
      <c r="E1528" s="340"/>
      <c r="F1528" s="271"/>
      <c r="G1528" s="932"/>
      <c r="H1528" s="932"/>
      <c r="I1528" s="932"/>
      <c r="J1528" s="932"/>
      <c r="K1528" s="932"/>
      <c r="L1528" s="933"/>
      <c r="M1528" s="933"/>
      <c r="N1528" s="933"/>
      <c r="O1528" s="933"/>
      <c r="P1528" s="933"/>
      <c r="Q1528" s="933"/>
      <c r="R1528" s="933"/>
    </row>
    <row r="1529" spans="1:18" s="337" customFormat="1" ht="13.5" customHeight="1">
      <c r="A1529" s="338"/>
      <c r="B1529" s="338"/>
      <c r="C1529" s="339"/>
      <c r="D1529" s="338"/>
      <c r="E1529" s="340"/>
      <c r="F1529" s="271"/>
      <c r="G1529" s="932"/>
      <c r="H1529" s="932"/>
      <c r="I1529" s="932"/>
      <c r="J1529" s="932"/>
      <c r="K1529" s="932"/>
      <c r="L1529" s="933"/>
      <c r="M1529" s="933"/>
      <c r="N1529" s="933"/>
      <c r="O1529" s="933"/>
      <c r="P1529" s="933"/>
      <c r="Q1529" s="933"/>
      <c r="R1529" s="933"/>
    </row>
    <row r="1530" spans="1:18" s="337" customFormat="1" ht="13.5" customHeight="1">
      <c r="A1530" s="338"/>
      <c r="B1530" s="338"/>
      <c r="C1530" s="339"/>
      <c r="D1530" s="338"/>
      <c r="E1530" s="340"/>
      <c r="F1530" s="271"/>
      <c r="G1530" s="932"/>
      <c r="H1530" s="932"/>
      <c r="I1530" s="932"/>
      <c r="J1530" s="932"/>
      <c r="K1530" s="932"/>
      <c r="L1530" s="933"/>
      <c r="M1530" s="933"/>
      <c r="N1530" s="933"/>
      <c r="O1530" s="933"/>
      <c r="P1530" s="933"/>
      <c r="Q1530" s="933"/>
      <c r="R1530" s="933"/>
    </row>
    <row r="1531" spans="1:18" s="337" customFormat="1" ht="13.5" customHeight="1">
      <c r="A1531" s="338"/>
      <c r="B1531" s="338"/>
      <c r="C1531" s="339"/>
      <c r="D1531" s="338"/>
      <c r="E1531" s="340"/>
      <c r="F1531" s="271"/>
      <c r="G1531" s="932"/>
      <c r="H1531" s="932"/>
      <c r="I1531" s="932"/>
      <c r="J1531" s="932"/>
      <c r="K1531" s="932"/>
      <c r="L1531" s="933"/>
      <c r="M1531" s="933"/>
      <c r="N1531" s="933"/>
      <c r="O1531" s="933"/>
      <c r="P1531" s="933"/>
      <c r="Q1531" s="933"/>
      <c r="R1531" s="933"/>
    </row>
    <row r="1532" spans="1:5" ht="13.5" customHeight="1">
      <c r="A1532" s="338"/>
      <c r="B1532" s="338"/>
      <c r="C1532" s="339"/>
      <c r="D1532" s="338"/>
      <c r="E1532" s="340"/>
    </row>
    <row r="1533" spans="1:5" ht="13.5" customHeight="1">
      <c r="A1533" s="338"/>
      <c r="B1533" s="338"/>
      <c r="C1533" s="339"/>
      <c r="D1533" s="338"/>
      <c r="E1533" s="340"/>
    </row>
    <row r="1534" spans="1:5" ht="13.5" customHeight="1">
      <c r="A1534" s="338"/>
      <c r="B1534" s="338"/>
      <c r="C1534" s="339"/>
      <c r="D1534" s="338"/>
      <c r="E1534" s="340"/>
    </row>
    <row r="1535" spans="1:5" ht="13.5" customHeight="1">
      <c r="A1535" s="338"/>
      <c r="B1535" s="338"/>
      <c r="C1535" s="339"/>
      <c r="D1535" s="338"/>
      <c r="E1535" s="340"/>
    </row>
    <row r="1536" spans="1:11" ht="13.5" customHeight="1">
      <c r="A1536" s="338"/>
      <c r="B1536" s="338"/>
      <c r="C1536" s="339"/>
      <c r="D1536" s="338"/>
      <c r="E1536" s="340"/>
      <c r="F1536" s="255"/>
      <c r="G1536" s="255"/>
      <c r="H1536" s="255"/>
      <c r="I1536" s="255"/>
      <c r="J1536" s="255"/>
      <c r="K1536" s="255"/>
    </row>
    <row r="1537" spans="1:11" ht="13.5" customHeight="1">
      <c r="A1537" s="338"/>
      <c r="B1537" s="338"/>
      <c r="C1537" s="339"/>
      <c r="D1537" s="338"/>
      <c r="E1537" s="340"/>
      <c r="F1537" s="255"/>
      <c r="G1537" s="255"/>
      <c r="H1537" s="255"/>
      <c r="I1537" s="255"/>
      <c r="J1537" s="255"/>
      <c r="K1537" s="255"/>
    </row>
    <row r="1538" spans="1:11" ht="13.5" customHeight="1">
      <c r="A1538" s="338"/>
      <c r="B1538" s="338"/>
      <c r="C1538" s="339"/>
      <c r="D1538" s="338"/>
      <c r="E1538" s="340"/>
      <c r="F1538" s="255"/>
      <c r="G1538" s="255"/>
      <c r="H1538" s="255"/>
      <c r="I1538" s="255"/>
      <c r="J1538" s="255"/>
      <c r="K1538" s="255"/>
    </row>
    <row r="1539" spans="1:11" ht="13.5" customHeight="1">
      <c r="A1539" s="338"/>
      <c r="B1539" s="338"/>
      <c r="C1539" s="339"/>
      <c r="D1539" s="338"/>
      <c r="E1539" s="340"/>
      <c r="F1539" s="255"/>
      <c r="G1539" s="255"/>
      <c r="H1539" s="255"/>
      <c r="I1539" s="255"/>
      <c r="J1539" s="255"/>
      <c r="K1539" s="255"/>
    </row>
    <row r="1540" spans="1:11" ht="13.5" customHeight="1">
      <c r="A1540" s="338"/>
      <c r="B1540" s="338"/>
      <c r="C1540" s="339"/>
      <c r="D1540" s="338"/>
      <c r="E1540" s="340"/>
      <c r="F1540" s="255"/>
      <c r="G1540" s="255"/>
      <c r="H1540" s="255"/>
      <c r="I1540" s="255"/>
      <c r="J1540" s="255"/>
      <c r="K1540" s="255"/>
    </row>
    <row r="1541" spans="1:11" ht="13.5" customHeight="1">
      <c r="A1541" s="338"/>
      <c r="B1541" s="338"/>
      <c r="C1541" s="339"/>
      <c r="D1541" s="338"/>
      <c r="E1541" s="340"/>
      <c r="F1541" s="255"/>
      <c r="G1541" s="255"/>
      <c r="H1541" s="255"/>
      <c r="I1541" s="255"/>
      <c r="J1541" s="255"/>
      <c r="K1541" s="255"/>
    </row>
    <row r="1542" spans="1:11" ht="13.5" customHeight="1">
      <c r="A1542" s="338"/>
      <c r="B1542" s="338"/>
      <c r="C1542" s="339"/>
      <c r="D1542" s="338"/>
      <c r="E1542" s="340"/>
      <c r="F1542" s="255"/>
      <c r="G1542" s="255"/>
      <c r="H1542" s="255"/>
      <c r="I1542" s="255"/>
      <c r="J1542" s="255"/>
      <c r="K1542" s="255"/>
    </row>
    <row r="1543" spans="1:11" ht="13.5" customHeight="1">
      <c r="A1543" s="338"/>
      <c r="B1543" s="338"/>
      <c r="C1543" s="339"/>
      <c r="D1543" s="338"/>
      <c r="E1543" s="340"/>
      <c r="F1543" s="255"/>
      <c r="G1543" s="255"/>
      <c r="H1543" s="255"/>
      <c r="I1543" s="255"/>
      <c r="J1543" s="255"/>
      <c r="K1543" s="255"/>
    </row>
    <row r="1544" spans="1:11" ht="13.5" customHeight="1">
      <c r="A1544" s="338"/>
      <c r="B1544" s="338"/>
      <c r="C1544" s="339"/>
      <c r="D1544" s="338"/>
      <c r="E1544" s="340"/>
      <c r="F1544" s="255"/>
      <c r="G1544" s="255"/>
      <c r="H1544" s="255"/>
      <c r="I1544" s="255"/>
      <c r="J1544" s="255"/>
      <c r="K1544" s="255"/>
    </row>
    <row r="1545" spans="1:11" ht="13.5" customHeight="1">
      <c r="A1545" s="338"/>
      <c r="B1545" s="338"/>
      <c r="C1545" s="339"/>
      <c r="D1545" s="338"/>
      <c r="E1545" s="340"/>
      <c r="F1545" s="255"/>
      <c r="G1545" s="255"/>
      <c r="H1545" s="255"/>
      <c r="I1545" s="255"/>
      <c r="J1545" s="255"/>
      <c r="K1545" s="255"/>
    </row>
    <row r="1546" spans="1:11" ht="13.5" customHeight="1">
      <c r="A1546" s="338"/>
      <c r="B1546" s="338"/>
      <c r="C1546" s="339"/>
      <c r="D1546" s="338"/>
      <c r="E1546" s="340"/>
      <c r="F1546" s="255"/>
      <c r="G1546" s="255"/>
      <c r="H1546" s="255"/>
      <c r="I1546" s="255"/>
      <c r="J1546" s="255"/>
      <c r="K1546" s="255"/>
    </row>
    <row r="1547" spans="1:11" ht="13.5" customHeight="1">
      <c r="A1547" s="338"/>
      <c r="B1547" s="338"/>
      <c r="C1547" s="339"/>
      <c r="D1547" s="338"/>
      <c r="E1547" s="340"/>
      <c r="F1547" s="255"/>
      <c r="G1547" s="255"/>
      <c r="H1547" s="255"/>
      <c r="I1547" s="255"/>
      <c r="J1547" s="255"/>
      <c r="K1547" s="255"/>
    </row>
    <row r="1548" spans="1:11" ht="13.5" customHeight="1">
      <c r="A1548" s="338"/>
      <c r="B1548" s="338"/>
      <c r="C1548" s="339"/>
      <c r="D1548" s="338"/>
      <c r="E1548" s="340"/>
      <c r="F1548" s="255"/>
      <c r="G1548" s="255"/>
      <c r="H1548" s="255"/>
      <c r="I1548" s="255"/>
      <c r="J1548" s="255"/>
      <c r="K1548" s="255"/>
    </row>
    <row r="1549" spans="1:11" ht="13.5" customHeight="1">
      <c r="A1549" s="338"/>
      <c r="B1549" s="338"/>
      <c r="C1549" s="339"/>
      <c r="D1549" s="338"/>
      <c r="E1549" s="340"/>
      <c r="F1549" s="255"/>
      <c r="G1549" s="255"/>
      <c r="H1549" s="255"/>
      <c r="I1549" s="255"/>
      <c r="J1549" s="255"/>
      <c r="K1549" s="255"/>
    </row>
    <row r="1550" spans="1:11" ht="13.5" customHeight="1">
      <c r="A1550" s="338"/>
      <c r="B1550" s="338"/>
      <c r="C1550" s="339"/>
      <c r="D1550" s="338"/>
      <c r="E1550" s="340"/>
      <c r="F1550" s="255"/>
      <c r="G1550" s="255"/>
      <c r="H1550" s="255"/>
      <c r="I1550" s="255"/>
      <c r="J1550" s="255"/>
      <c r="K1550" s="255"/>
    </row>
    <row r="1551" spans="1:11" ht="13.5" customHeight="1">
      <c r="A1551" s="338"/>
      <c r="B1551" s="338"/>
      <c r="C1551" s="339"/>
      <c r="D1551" s="338"/>
      <c r="E1551" s="340"/>
      <c r="F1551" s="255"/>
      <c r="G1551" s="255"/>
      <c r="H1551" s="255"/>
      <c r="I1551" s="255"/>
      <c r="J1551" s="255"/>
      <c r="K1551" s="255"/>
    </row>
    <row r="1552" spans="1:11" ht="13.5" customHeight="1">
      <c r="A1552" s="338"/>
      <c r="B1552" s="338"/>
      <c r="C1552" s="339"/>
      <c r="D1552" s="338"/>
      <c r="E1552" s="340"/>
      <c r="F1552" s="255"/>
      <c r="G1552" s="255"/>
      <c r="H1552" s="255"/>
      <c r="I1552" s="255"/>
      <c r="J1552" s="255"/>
      <c r="K1552" s="255"/>
    </row>
    <row r="1553" spans="1:11" ht="13.5" customHeight="1">
      <c r="A1553" s="338"/>
      <c r="B1553" s="338"/>
      <c r="C1553" s="339"/>
      <c r="D1553" s="338"/>
      <c r="E1553" s="340"/>
      <c r="F1553" s="255"/>
      <c r="G1553" s="255"/>
      <c r="H1553" s="255"/>
      <c r="I1553" s="255"/>
      <c r="J1553" s="255"/>
      <c r="K1553" s="255"/>
    </row>
    <row r="1554" spans="1:11" ht="13.5" customHeight="1">
      <c r="A1554" s="338"/>
      <c r="B1554" s="338"/>
      <c r="C1554" s="339"/>
      <c r="D1554" s="338"/>
      <c r="E1554" s="340"/>
      <c r="F1554" s="255"/>
      <c r="G1554" s="255"/>
      <c r="H1554" s="255"/>
      <c r="I1554" s="255"/>
      <c r="J1554" s="255"/>
      <c r="K1554" s="255"/>
    </row>
    <row r="1555" spans="1:11" ht="13.5" customHeight="1">
      <c r="A1555" s="338"/>
      <c r="B1555" s="338"/>
      <c r="C1555" s="339"/>
      <c r="D1555" s="338"/>
      <c r="E1555" s="340"/>
      <c r="F1555" s="255"/>
      <c r="G1555" s="255"/>
      <c r="H1555" s="255"/>
      <c r="I1555" s="255"/>
      <c r="J1555" s="255"/>
      <c r="K1555" s="255"/>
    </row>
    <row r="1556" spans="1:11" ht="13.5" customHeight="1">
      <c r="A1556" s="338"/>
      <c r="B1556" s="338"/>
      <c r="C1556" s="339"/>
      <c r="D1556" s="338"/>
      <c r="E1556" s="340"/>
      <c r="F1556" s="255"/>
      <c r="G1556" s="255"/>
      <c r="H1556" s="255"/>
      <c r="I1556" s="255"/>
      <c r="J1556" s="255"/>
      <c r="K1556" s="255"/>
    </row>
    <row r="1557" spans="1:11" ht="13.5" customHeight="1">
      <c r="A1557" s="338"/>
      <c r="B1557" s="338"/>
      <c r="C1557" s="339"/>
      <c r="D1557" s="338"/>
      <c r="E1557" s="340"/>
      <c r="F1557" s="255"/>
      <c r="G1557" s="255"/>
      <c r="H1557" s="255"/>
      <c r="I1557" s="255"/>
      <c r="J1557" s="255"/>
      <c r="K1557" s="255"/>
    </row>
    <row r="1558" spans="1:11" ht="13.5" customHeight="1">
      <c r="A1558" s="338"/>
      <c r="B1558" s="338"/>
      <c r="C1558" s="339"/>
      <c r="D1558" s="338"/>
      <c r="E1558" s="340"/>
      <c r="F1558" s="255"/>
      <c r="G1558" s="255"/>
      <c r="H1558" s="255"/>
      <c r="I1558" s="255"/>
      <c r="J1558" s="255"/>
      <c r="K1558" s="255"/>
    </row>
    <row r="1559" spans="1:11" ht="13.5" customHeight="1">
      <c r="A1559" s="338"/>
      <c r="B1559" s="338"/>
      <c r="C1559" s="339"/>
      <c r="D1559" s="338"/>
      <c r="E1559" s="340"/>
      <c r="F1559" s="255"/>
      <c r="G1559" s="255"/>
      <c r="H1559" s="255"/>
      <c r="I1559" s="255"/>
      <c r="J1559" s="255"/>
      <c r="K1559" s="255"/>
    </row>
    <row r="1560" spans="1:11" ht="13.5" customHeight="1">
      <c r="A1560" s="338"/>
      <c r="B1560" s="338"/>
      <c r="C1560" s="339"/>
      <c r="D1560" s="338"/>
      <c r="E1560" s="340"/>
      <c r="F1560" s="255"/>
      <c r="G1560" s="255"/>
      <c r="H1560" s="255"/>
      <c r="I1560" s="255"/>
      <c r="J1560" s="255"/>
      <c r="K1560" s="255"/>
    </row>
    <row r="1561" spans="1:11" ht="13.5" customHeight="1">
      <c r="A1561" s="338"/>
      <c r="B1561" s="338"/>
      <c r="C1561" s="339"/>
      <c r="D1561" s="338"/>
      <c r="E1561" s="340"/>
      <c r="F1561" s="255"/>
      <c r="G1561" s="255"/>
      <c r="H1561" s="255"/>
      <c r="I1561" s="255"/>
      <c r="J1561" s="255"/>
      <c r="K1561" s="255"/>
    </row>
    <row r="1562" spans="1:11" ht="13.5" customHeight="1">
      <c r="A1562" s="338"/>
      <c r="B1562" s="338"/>
      <c r="C1562" s="339"/>
      <c r="D1562" s="338"/>
      <c r="E1562" s="340"/>
      <c r="F1562" s="255"/>
      <c r="G1562" s="255"/>
      <c r="H1562" s="255"/>
      <c r="I1562" s="255"/>
      <c r="J1562" s="255"/>
      <c r="K1562" s="255"/>
    </row>
    <row r="1563" spans="1:11" ht="13.5" customHeight="1">
      <c r="A1563" s="338"/>
      <c r="B1563" s="338"/>
      <c r="C1563" s="339"/>
      <c r="D1563" s="338"/>
      <c r="E1563" s="340"/>
      <c r="F1563" s="255"/>
      <c r="G1563" s="255"/>
      <c r="H1563" s="255"/>
      <c r="I1563" s="255"/>
      <c r="J1563" s="255"/>
      <c r="K1563" s="255"/>
    </row>
    <row r="1564" spans="1:11" ht="13.5" customHeight="1">
      <c r="A1564" s="338"/>
      <c r="B1564" s="338"/>
      <c r="C1564" s="339"/>
      <c r="D1564" s="338"/>
      <c r="E1564" s="340"/>
      <c r="F1564" s="255"/>
      <c r="G1564" s="255"/>
      <c r="H1564" s="255"/>
      <c r="I1564" s="255"/>
      <c r="J1564" s="255"/>
      <c r="K1564" s="255"/>
    </row>
    <row r="1565" spans="1:11" ht="13.5" customHeight="1">
      <c r="A1565" s="338"/>
      <c r="B1565" s="338"/>
      <c r="C1565" s="339"/>
      <c r="D1565" s="338"/>
      <c r="E1565" s="340"/>
      <c r="F1565" s="255"/>
      <c r="G1565" s="255"/>
      <c r="H1565" s="255"/>
      <c r="I1565" s="255"/>
      <c r="J1565" s="255"/>
      <c r="K1565" s="255"/>
    </row>
    <row r="1566" spans="6:11" ht="13.5" customHeight="1">
      <c r="F1566" s="255"/>
      <c r="G1566" s="255"/>
      <c r="H1566" s="255"/>
      <c r="I1566" s="255"/>
      <c r="J1566" s="255"/>
      <c r="K1566" s="255"/>
    </row>
    <row r="1567" spans="6:11" ht="13.5" customHeight="1">
      <c r="F1567" s="255"/>
      <c r="G1567" s="255"/>
      <c r="H1567" s="255"/>
      <c r="I1567" s="255"/>
      <c r="J1567" s="255"/>
      <c r="K1567" s="255"/>
    </row>
    <row r="1568" spans="1:11" ht="13.5" customHeight="1">
      <c r="A1568"/>
      <c r="B1568"/>
      <c r="C1568"/>
      <c r="D1568"/>
      <c r="E1568"/>
      <c r="F1568" s="255"/>
      <c r="G1568" s="255"/>
      <c r="H1568" s="255"/>
      <c r="I1568" s="255"/>
      <c r="J1568" s="255"/>
      <c r="K1568" s="255"/>
    </row>
    <row r="1569" spans="1:11" ht="13.5" customHeight="1">
      <c r="A1569"/>
      <c r="B1569"/>
      <c r="C1569"/>
      <c r="D1569"/>
      <c r="E1569"/>
      <c r="F1569" s="255"/>
      <c r="G1569" s="255"/>
      <c r="H1569" s="255"/>
      <c r="I1569" s="255"/>
      <c r="J1569" s="255"/>
      <c r="K1569" s="255"/>
    </row>
    <row r="1570" spans="1:11" ht="13.5" customHeight="1">
      <c r="A1570"/>
      <c r="B1570"/>
      <c r="C1570"/>
      <c r="D1570"/>
      <c r="E1570"/>
      <c r="F1570" s="255"/>
      <c r="G1570" s="255"/>
      <c r="H1570" s="255"/>
      <c r="I1570" s="255"/>
      <c r="J1570" s="255"/>
      <c r="K1570" s="255"/>
    </row>
    <row r="1571" spans="1:11" ht="13.5" customHeight="1">
      <c r="A1571"/>
      <c r="B1571"/>
      <c r="C1571"/>
      <c r="D1571"/>
      <c r="E1571"/>
      <c r="F1571" s="255"/>
      <c r="G1571" s="255"/>
      <c r="H1571" s="255"/>
      <c r="I1571" s="255"/>
      <c r="J1571" s="255"/>
      <c r="K1571" s="255"/>
    </row>
    <row r="1572" spans="1:11" ht="13.5" customHeight="1">
      <c r="A1572"/>
      <c r="B1572"/>
      <c r="C1572"/>
      <c r="D1572"/>
      <c r="E1572"/>
      <c r="F1572" s="255"/>
      <c r="G1572" s="255"/>
      <c r="H1572" s="255"/>
      <c r="I1572" s="255"/>
      <c r="J1572" s="255"/>
      <c r="K1572" s="255"/>
    </row>
    <row r="1573" spans="1:11" ht="13.5" customHeight="1">
      <c r="A1573"/>
      <c r="B1573"/>
      <c r="C1573"/>
      <c r="D1573"/>
      <c r="E1573"/>
      <c r="F1573" s="255"/>
      <c r="G1573" s="255"/>
      <c r="H1573" s="255"/>
      <c r="I1573" s="255"/>
      <c r="J1573" s="255"/>
      <c r="K1573" s="255"/>
    </row>
    <row r="1574" spans="1:11" ht="13.5" customHeight="1">
      <c r="A1574"/>
      <c r="B1574"/>
      <c r="C1574"/>
      <c r="D1574"/>
      <c r="E1574"/>
      <c r="F1574" s="255"/>
      <c r="G1574" s="255"/>
      <c r="H1574" s="255"/>
      <c r="I1574" s="255"/>
      <c r="J1574" s="255"/>
      <c r="K1574" s="255"/>
    </row>
    <row r="1575" spans="1:11" ht="13.5" customHeight="1">
      <c r="A1575"/>
      <c r="B1575"/>
      <c r="C1575"/>
      <c r="D1575"/>
      <c r="E1575"/>
      <c r="F1575" s="255"/>
      <c r="G1575" s="255"/>
      <c r="H1575" s="255"/>
      <c r="I1575" s="255"/>
      <c r="J1575" s="255"/>
      <c r="K1575" s="255"/>
    </row>
    <row r="1576" spans="1:11" ht="13.5" customHeight="1">
      <c r="A1576"/>
      <c r="B1576"/>
      <c r="C1576"/>
      <c r="D1576"/>
      <c r="E1576"/>
      <c r="F1576" s="255"/>
      <c r="G1576" s="255"/>
      <c r="H1576" s="255"/>
      <c r="I1576" s="255"/>
      <c r="J1576" s="255"/>
      <c r="K1576" s="255"/>
    </row>
    <row r="1577" spans="1:11" ht="13.5" customHeight="1">
      <c r="A1577"/>
      <c r="B1577"/>
      <c r="C1577"/>
      <c r="D1577"/>
      <c r="E1577"/>
      <c r="F1577" s="255"/>
      <c r="G1577" s="255"/>
      <c r="H1577" s="255"/>
      <c r="I1577" s="255"/>
      <c r="J1577" s="255"/>
      <c r="K1577" s="255"/>
    </row>
    <row r="1578" spans="1:11" ht="13.5" customHeight="1">
      <c r="A1578"/>
      <c r="B1578"/>
      <c r="C1578"/>
      <c r="D1578"/>
      <c r="E1578"/>
      <c r="F1578" s="255"/>
      <c r="G1578" s="255"/>
      <c r="H1578" s="255"/>
      <c r="I1578" s="255"/>
      <c r="J1578" s="255"/>
      <c r="K1578" s="255"/>
    </row>
    <row r="1579" spans="1:11" ht="13.5" customHeight="1">
      <c r="A1579"/>
      <c r="B1579"/>
      <c r="C1579"/>
      <c r="D1579"/>
      <c r="E1579"/>
      <c r="F1579" s="255"/>
      <c r="G1579" s="255"/>
      <c r="H1579" s="255"/>
      <c r="I1579" s="255"/>
      <c r="J1579" s="255"/>
      <c r="K1579" s="255"/>
    </row>
    <row r="1580" spans="1:11" ht="13.5" customHeight="1">
      <c r="A1580"/>
      <c r="B1580"/>
      <c r="C1580"/>
      <c r="D1580"/>
      <c r="E1580"/>
      <c r="F1580" s="255"/>
      <c r="G1580" s="255"/>
      <c r="H1580" s="255"/>
      <c r="I1580" s="255"/>
      <c r="J1580" s="255"/>
      <c r="K1580" s="255"/>
    </row>
    <row r="1581" spans="1:11" ht="13.5" customHeight="1">
      <c r="A1581"/>
      <c r="B1581"/>
      <c r="C1581"/>
      <c r="D1581"/>
      <c r="E1581"/>
      <c r="F1581" s="255"/>
      <c r="G1581" s="255"/>
      <c r="H1581" s="255"/>
      <c r="I1581" s="255"/>
      <c r="J1581" s="255"/>
      <c r="K1581" s="255"/>
    </row>
    <row r="1582" spans="1:11" ht="13.5" customHeight="1">
      <c r="A1582"/>
      <c r="B1582"/>
      <c r="C1582"/>
      <c r="D1582"/>
      <c r="E1582"/>
      <c r="F1582" s="255"/>
      <c r="G1582" s="255"/>
      <c r="H1582" s="255"/>
      <c r="I1582" s="255"/>
      <c r="J1582" s="255"/>
      <c r="K1582" s="255"/>
    </row>
    <row r="1583" spans="1:11" ht="13.5" customHeight="1">
      <c r="A1583"/>
      <c r="B1583"/>
      <c r="C1583"/>
      <c r="D1583"/>
      <c r="E1583"/>
      <c r="F1583" s="255"/>
      <c r="G1583" s="255"/>
      <c r="H1583" s="255"/>
      <c r="I1583" s="255"/>
      <c r="J1583" s="255"/>
      <c r="K1583" s="255"/>
    </row>
    <row r="1584" spans="1:11" ht="13.5" customHeight="1">
      <c r="A1584"/>
      <c r="B1584"/>
      <c r="C1584"/>
      <c r="D1584"/>
      <c r="E1584"/>
      <c r="F1584" s="255"/>
      <c r="G1584" s="255"/>
      <c r="H1584" s="255"/>
      <c r="I1584" s="255"/>
      <c r="J1584" s="255"/>
      <c r="K1584" s="255"/>
    </row>
    <row r="1585" spans="1:11" ht="13.5" customHeight="1">
      <c r="A1585"/>
      <c r="B1585"/>
      <c r="C1585"/>
      <c r="D1585"/>
      <c r="E1585"/>
      <c r="F1585" s="255"/>
      <c r="G1585" s="255"/>
      <c r="H1585" s="255"/>
      <c r="I1585" s="255"/>
      <c r="J1585" s="255"/>
      <c r="K1585" s="255"/>
    </row>
    <row r="1586" spans="1:11" ht="13.5" customHeight="1">
      <c r="A1586"/>
      <c r="B1586"/>
      <c r="C1586"/>
      <c r="D1586"/>
      <c r="E1586"/>
      <c r="F1586" s="255"/>
      <c r="G1586" s="255"/>
      <c r="H1586" s="255"/>
      <c r="I1586" s="255"/>
      <c r="J1586" s="255"/>
      <c r="K1586" s="255"/>
    </row>
    <row r="1587" spans="1:11" ht="13.5" customHeight="1">
      <c r="A1587"/>
      <c r="B1587"/>
      <c r="C1587"/>
      <c r="D1587"/>
      <c r="E1587"/>
      <c r="F1587" s="255"/>
      <c r="G1587" s="255"/>
      <c r="H1587" s="255"/>
      <c r="I1587" s="255"/>
      <c r="J1587" s="255"/>
      <c r="K1587" s="255"/>
    </row>
    <row r="1588" spans="1:11" ht="13.5" customHeight="1">
      <c r="A1588"/>
      <c r="B1588"/>
      <c r="C1588"/>
      <c r="D1588"/>
      <c r="E1588"/>
      <c r="F1588" s="255"/>
      <c r="G1588" s="255"/>
      <c r="H1588" s="255"/>
      <c r="I1588" s="255"/>
      <c r="J1588" s="255"/>
      <c r="K1588" s="255"/>
    </row>
    <row r="1589" spans="1:11" ht="13.5" customHeight="1">
      <c r="A1589"/>
      <c r="B1589"/>
      <c r="C1589"/>
      <c r="D1589"/>
      <c r="E1589"/>
      <c r="F1589" s="255"/>
      <c r="G1589" s="255"/>
      <c r="H1589" s="255"/>
      <c r="I1589" s="255"/>
      <c r="J1589" s="255"/>
      <c r="K1589" s="255"/>
    </row>
    <row r="1590" spans="1:11" ht="13.5" customHeight="1">
      <c r="A1590"/>
      <c r="B1590"/>
      <c r="C1590"/>
      <c r="D1590"/>
      <c r="E1590"/>
      <c r="F1590" s="255"/>
      <c r="G1590" s="255"/>
      <c r="H1590" s="255"/>
      <c r="I1590" s="255"/>
      <c r="J1590" s="255"/>
      <c r="K1590" s="255"/>
    </row>
    <row r="1591" spans="1:11" ht="13.5" customHeight="1">
      <c r="A1591"/>
      <c r="B1591"/>
      <c r="C1591"/>
      <c r="D1591"/>
      <c r="E1591"/>
      <c r="F1591" s="255"/>
      <c r="G1591" s="255"/>
      <c r="H1591" s="255"/>
      <c r="I1591" s="255"/>
      <c r="J1591" s="255"/>
      <c r="K1591" s="255"/>
    </row>
    <row r="1592" spans="1:11" ht="13.5" customHeight="1">
      <c r="A1592"/>
      <c r="B1592"/>
      <c r="C1592"/>
      <c r="D1592"/>
      <c r="E1592"/>
      <c r="F1592" s="255"/>
      <c r="G1592" s="255"/>
      <c r="H1592" s="255"/>
      <c r="I1592" s="255"/>
      <c r="J1592" s="255"/>
      <c r="K1592" s="255"/>
    </row>
    <row r="1593" spans="1:11" ht="13.5" customHeight="1">
      <c r="A1593"/>
      <c r="B1593"/>
      <c r="C1593"/>
      <c r="D1593"/>
      <c r="E1593"/>
      <c r="F1593" s="255"/>
      <c r="G1593" s="255"/>
      <c r="H1593" s="255"/>
      <c r="I1593" s="255"/>
      <c r="J1593" s="255"/>
      <c r="K1593" s="255"/>
    </row>
    <row r="1594" spans="1:11" ht="13.5" customHeight="1">
      <c r="A1594"/>
      <c r="B1594"/>
      <c r="C1594"/>
      <c r="D1594"/>
      <c r="E1594"/>
      <c r="F1594" s="255"/>
      <c r="G1594" s="255"/>
      <c r="H1594" s="255"/>
      <c r="I1594" s="255"/>
      <c r="J1594" s="255"/>
      <c r="K1594" s="255"/>
    </row>
    <row r="1595" spans="1:11" ht="13.5" customHeight="1">
      <c r="A1595"/>
      <c r="B1595"/>
      <c r="C1595"/>
      <c r="D1595"/>
      <c r="E1595"/>
      <c r="F1595" s="255"/>
      <c r="G1595" s="255"/>
      <c r="H1595" s="255"/>
      <c r="I1595" s="255"/>
      <c r="J1595" s="255"/>
      <c r="K1595" s="255"/>
    </row>
    <row r="1596" spans="1:11" ht="13.5" customHeight="1">
      <c r="A1596"/>
      <c r="B1596"/>
      <c r="C1596"/>
      <c r="D1596"/>
      <c r="E1596"/>
      <c r="F1596" s="255"/>
      <c r="G1596" s="255"/>
      <c r="H1596" s="255"/>
      <c r="I1596" s="255"/>
      <c r="J1596" s="255"/>
      <c r="K1596" s="255"/>
    </row>
    <row r="1597" spans="1:11" ht="13.5" customHeight="1">
      <c r="A1597"/>
      <c r="B1597"/>
      <c r="C1597"/>
      <c r="D1597"/>
      <c r="E1597"/>
      <c r="F1597" s="255"/>
      <c r="G1597" s="255"/>
      <c r="H1597" s="255"/>
      <c r="I1597" s="255"/>
      <c r="J1597" s="255"/>
      <c r="K1597" s="255"/>
    </row>
    <row r="1598" spans="1:11" ht="13.5" customHeight="1">
      <c r="A1598"/>
      <c r="B1598"/>
      <c r="C1598"/>
      <c r="D1598"/>
      <c r="E1598"/>
      <c r="F1598" s="255"/>
      <c r="G1598" s="255"/>
      <c r="H1598" s="255"/>
      <c r="I1598" s="255"/>
      <c r="J1598" s="255"/>
      <c r="K1598" s="255"/>
    </row>
    <row r="1599" spans="1:11" ht="13.5" customHeight="1">
      <c r="A1599"/>
      <c r="B1599"/>
      <c r="C1599"/>
      <c r="D1599"/>
      <c r="E1599"/>
      <c r="F1599" s="255"/>
      <c r="G1599" s="255"/>
      <c r="H1599" s="255"/>
      <c r="I1599" s="255"/>
      <c r="J1599" s="255"/>
      <c r="K1599" s="255"/>
    </row>
    <row r="1600" spans="1:11" ht="13.5" customHeight="1">
      <c r="A1600"/>
      <c r="B1600"/>
      <c r="C1600"/>
      <c r="D1600"/>
      <c r="E1600"/>
      <c r="F1600" s="255"/>
      <c r="G1600" s="255"/>
      <c r="H1600" s="255"/>
      <c r="I1600" s="255"/>
      <c r="J1600" s="255"/>
      <c r="K1600" s="255"/>
    </row>
    <row r="1601" spans="1:11" ht="13.5" customHeight="1">
      <c r="A1601"/>
      <c r="B1601"/>
      <c r="C1601"/>
      <c r="D1601"/>
      <c r="E1601"/>
      <c r="F1601" s="255"/>
      <c r="G1601" s="255"/>
      <c r="H1601" s="255"/>
      <c r="I1601" s="255"/>
      <c r="J1601" s="255"/>
      <c r="K1601" s="255"/>
    </row>
    <row r="1602" spans="1:11" ht="13.5" customHeight="1">
      <c r="A1602"/>
      <c r="B1602"/>
      <c r="C1602"/>
      <c r="D1602"/>
      <c r="E1602"/>
      <c r="F1602" s="255"/>
      <c r="G1602" s="255"/>
      <c r="H1602" s="255"/>
      <c r="I1602" s="255"/>
      <c r="J1602" s="255"/>
      <c r="K1602" s="255"/>
    </row>
    <row r="1603" spans="1:11" ht="13.5" customHeight="1">
      <c r="A1603"/>
      <c r="B1603"/>
      <c r="C1603"/>
      <c r="D1603"/>
      <c r="E1603"/>
      <c r="F1603" s="255"/>
      <c r="G1603" s="255"/>
      <c r="H1603" s="255"/>
      <c r="I1603" s="255"/>
      <c r="J1603" s="255"/>
      <c r="K1603" s="255"/>
    </row>
    <row r="1604" spans="1:11" ht="13.5" customHeight="1">
      <c r="A1604"/>
      <c r="B1604"/>
      <c r="C1604"/>
      <c r="D1604"/>
      <c r="E1604"/>
      <c r="F1604" s="255"/>
      <c r="G1604" s="255"/>
      <c r="H1604" s="255"/>
      <c r="I1604" s="255"/>
      <c r="J1604" s="255"/>
      <c r="K1604" s="255"/>
    </row>
    <row r="1605" spans="1:11" ht="13.5" customHeight="1">
      <c r="A1605"/>
      <c r="B1605"/>
      <c r="C1605"/>
      <c r="D1605"/>
      <c r="E1605"/>
      <c r="F1605" s="255"/>
      <c r="G1605" s="255"/>
      <c r="H1605" s="255"/>
      <c r="I1605" s="255"/>
      <c r="J1605" s="255"/>
      <c r="K1605" s="255"/>
    </row>
    <row r="1606" spans="1:11" ht="13.5" customHeight="1">
      <c r="A1606"/>
      <c r="B1606"/>
      <c r="C1606"/>
      <c r="D1606"/>
      <c r="E1606"/>
      <c r="F1606" s="255"/>
      <c r="G1606" s="255"/>
      <c r="H1606" s="255"/>
      <c r="I1606" s="255"/>
      <c r="J1606" s="255"/>
      <c r="K1606" s="255"/>
    </row>
    <row r="1607" spans="1:11" ht="13.5" customHeight="1">
      <c r="A1607"/>
      <c r="B1607"/>
      <c r="C1607"/>
      <c r="D1607"/>
      <c r="E1607"/>
      <c r="F1607" s="255"/>
      <c r="G1607" s="255"/>
      <c r="H1607" s="255"/>
      <c r="I1607" s="255"/>
      <c r="J1607" s="255"/>
      <c r="K1607" s="255"/>
    </row>
    <row r="1608" spans="1:11" ht="13.5" customHeight="1">
      <c r="A1608"/>
      <c r="B1608"/>
      <c r="C1608"/>
      <c r="D1608"/>
      <c r="E1608"/>
      <c r="F1608" s="255"/>
      <c r="G1608" s="255"/>
      <c r="H1608" s="255"/>
      <c r="I1608" s="255"/>
      <c r="J1608" s="255"/>
      <c r="K1608" s="255"/>
    </row>
    <row r="1609" spans="1:11" ht="13.5" customHeight="1">
      <c r="A1609"/>
      <c r="B1609"/>
      <c r="C1609"/>
      <c r="D1609"/>
      <c r="E1609"/>
      <c r="F1609" s="255"/>
      <c r="G1609" s="255"/>
      <c r="H1609" s="255"/>
      <c r="I1609" s="255"/>
      <c r="J1609" s="255"/>
      <c r="K1609" s="255"/>
    </row>
    <row r="1610" spans="1:11" ht="13.5" customHeight="1">
      <c r="A1610"/>
      <c r="B1610"/>
      <c r="C1610"/>
      <c r="D1610"/>
      <c r="E1610"/>
      <c r="F1610" s="255"/>
      <c r="G1610" s="255"/>
      <c r="H1610" s="255"/>
      <c r="I1610" s="255"/>
      <c r="J1610" s="255"/>
      <c r="K1610" s="255"/>
    </row>
    <row r="1611" spans="1:11" ht="13.5" customHeight="1">
      <c r="A1611"/>
      <c r="B1611"/>
      <c r="C1611"/>
      <c r="D1611"/>
      <c r="E1611"/>
      <c r="F1611" s="255"/>
      <c r="G1611" s="255"/>
      <c r="H1611" s="255"/>
      <c r="I1611" s="255"/>
      <c r="J1611" s="255"/>
      <c r="K1611" s="255"/>
    </row>
    <row r="1612" spans="1:11" ht="13.5" customHeight="1">
      <c r="A1612"/>
      <c r="B1612"/>
      <c r="C1612"/>
      <c r="D1612"/>
      <c r="E1612"/>
      <c r="F1612" s="255"/>
      <c r="G1612" s="255"/>
      <c r="H1612" s="255"/>
      <c r="I1612" s="255"/>
      <c r="J1612" s="255"/>
      <c r="K1612" s="255"/>
    </row>
    <row r="1613" spans="1:11" ht="13.5" customHeight="1">
      <c r="A1613"/>
      <c r="B1613"/>
      <c r="C1613"/>
      <c r="D1613"/>
      <c r="E1613"/>
      <c r="F1613" s="255"/>
      <c r="G1613" s="255"/>
      <c r="H1613" s="255"/>
      <c r="I1613" s="255"/>
      <c r="J1613" s="255"/>
      <c r="K1613" s="255"/>
    </row>
    <row r="1614" spans="1:11" ht="13.5" customHeight="1">
      <c r="A1614"/>
      <c r="B1614"/>
      <c r="C1614"/>
      <c r="D1614"/>
      <c r="E1614"/>
      <c r="F1614" s="255"/>
      <c r="G1614" s="255"/>
      <c r="H1614" s="255"/>
      <c r="I1614" s="255"/>
      <c r="J1614" s="255"/>
      <c r="K1614" s="255"/>
    </row>
    <row r="1615" spans="1:11" ht="13.5" customHeight="1">
      <c r="A1615"/>
      <c r="B1615"/>
      <c r="C1615"/>
      <c r="D1615"/>
      <c r="E1615"/>
      <c r="F1615" s="255"/>
      <c r="G1615" s="255"/>
      <c r="H1615" s="255"/>
      <c r="I1615" s="255"/>
      <c r="J1615" s="255"/>
      <c r="K1615" s="255"/>
    </row>
    <row r="1616" spans="1:11" ht="13.5" customHeight="1">
      <c r="A1616"/>
      <c r="B1616"/>
      <c r="C1616"/>
      <c r="D1616"/>
      <c r="E1616"/>
      <c r="F1616" s="255"/>
      <c r="G1616" s="255"/>
      <c r="H1616" s="255"/>
      <c r="I1616" s="255"/>
      <c r="J1616" s="255"/>
      <c r="K1616" s="255"/>
    </row>
    <row r="1617" spans="1:11" ht="13.5" customHeight="1">
      <c r="A1617"/>
      <c r="B1617"/>
      <c r="C1617"/>
      <c r="D1617"/>
      <c r="E1617"/>
      <c r="F1617" s="255"/>
      <c r="G1617" s="255"/>
      <c r="H1617" s="255"/>
      <c r="I1617" s="255"/>
      <c r="J1617" s="255"/>
      <c r="K1617" s="255"/>
    </row>
    <row r="1618" spans="1:11" ht="13.5" customHeight="1">
      <c r="A1618"/>
      <c r="B1618"/>
      <c r="C1618"/>
      <c r="D1618"/>
      <c r="E1618"/>
      <c r="F1618" s="255"/>
      <c r="G1618" s="255"/>
      <c r="H1618" s="255"/>
      <c r="I1618" s="255"/>
      <c r="J1618" s="255"/>
      <c r="K1618" s="255"/>
    </row>
    <row r="1619" spans="1:11" ht="13.5" customHeight="1">
      <c r="A1619"/>
      <c r="B1619"/>
      <c r="C1619"/>
      <c r="D1619"/>
      <c r="E1619"/>
      <c r="F1619" s="255"/>
      <c r="G1619" s="255"/>
      <c r="H1619" s="255"/>
      <c r="I1619" s="255"/>
      <c r="J1619" s="255"/>
      <c r="K1619" s="255"/>
    </row>
    <row r="1620" spans="1:11" ht="13.5" customHeight="1">
      <c r="A1620"/>
      <c r="B1620"/>
      <c r="C1620"/>
      <c r="D1620"/>
      <c r="E1620"/>
      <c r="F1620" s="255"/>
      <c r="G1620" s="255"/>
      <c r="H1620" s="255"/>
      <c r="I1620" s="255"/>
      <c r="J1620" s="255"/>
      <c r="K1620" s="255"/>
    </row>
    <row r="1621" spans="1:11" ht="13.5" customHeight="1">
      <c r="A1621"/>
      <c r="B1621"/>
      <c r="C1621"/>
      <c r="D1621"/>
      <c r="E1621"/>
      <c r="F1621" s="255"/>
      <c r="G1621" s="255"/>
      <c r="H1621" s="255"/>
      <c r="I1621" s="255"/>
      <c r="J1621" s="255"/>
      <c r="K1621" s="255"/>
    </row>
    <row r="1622" spans="1:11" ht="13.5" customHeight="1">
      <c r="A1622"/>
      <c r="B1622"/>
      <c r="C1622"/>
      <c r="D1622"/>
      <c r="E1622"/>
      <c r="F1622" s="255"/>
      <c r="G1622" s="255"/>
      <c r="H1622" s="255"/>
      <c r="I1622" s="255"/>
      <c r="J1622" s="255"/>
      <c r="K1622" s="255"/>
    </row>
    <row r="1623" spans="1:11" ht="13.5" customHeight="1">
      <c r="A1623"/>
      <c r="B1623"/>
      <c r="C1623"/>
      <c r="D1623"/>
      <c r="E1623"/>
      <c r="F1623" s="255"/>
      <c r="G1623" s="255"/>
      <c r="H1623" s="255"/>
      <c r="I1623" s="255"/>
      <c r="J1623" s="255"/>
      <c r="K1623" s="255"/>
    </row>
    <row r="1624" spans="1:11" ht="13.5" customHeight="1">
      <c r="A1624"/>
      <c r="B1624"/>
      <c r="C1624"/>
      <c r="D1624"/>
      <c r="E1624"/>
      <c r="F1624" s="255"/>
      <c r="G1624" s="255"/>
      <c r="H1624" s="255"/>
      <c r="I1624" s="255"/>
      <c r="J1624" s="255"/>
      <c r="K1624" s="255"/>
    </row>
    <row r="1625" spans="1:11" ht="13.5" customHeight="1">
      <c r="A1625"/>
      <c r="B1625"/>
      <c r="C1625"/>
      <c r="D1625"/>
      <c r="E1625"/>
      <c r="F1625" s="255"/>
      <c r="G1625" s="255"/>
      <c r="H1625" s="255"/>
      <c r="I1625" s="255"/>
      <c r="J1625" s="255"/>
      <c r="K1625" s="255"/>
    </row>
    <row r="1626" spans="1:11" ht="13.5" customHeight="1">
      <c r="A1626"/>
      <c r="B1626"/>
      <c r="C1626"/>
      <c r="D1626"/>
      <c r="E1626"/>
      <c r="F1626" s="255"/>
      <c r="G1626" s="255"/>
      <c r="H1626" s="255"/>
      <c r="I1626" s="255"/>
      <c r="J1626" s="255"/>
      <c r="K1626" s="255"/>
    </row>
    <row r="1627" spans="1:11" ht="13.5" customHeight="1">
      <c r="A1627"/>
      <c r="B1627"/>
      <c r="C1627"/>
      <c r="D1627"/>
      <c r="E1627"/>
      <c r="F1627" s="255"/>
      <c r="G1627" s="255"/>
      <c r="H1627" s="255"/>
      <c r="I1627" s="255"/>
      <c r="J1627" s="255"/>
      <c r="K1627" s="255"/>
    </row>
    <row r="1628" spans="1:11" ht="13.5" customHeight="1">
      <c r="A1628"/>
      <c r="B1628"/>
      <c r="C1628"/>
      <c r="D1628"/>
      <c r="E1628"/>
      <c r="F1628" s="255"/>
      <c r="G1628" s="255"/>
      <c r="H1628" s="255"/>
      <c r="I1628" s="255"/>
      <c r="J1628" s="255"/>
      <c r="K1628" s="255"/>
    </row>
    <row r="1629" spans="1:11" ht="13.5" customHeight="1">
      <c r="A1629"/>
      <c r="B1629"/>
      <c r="C1629"/>
      <c r="D1629"/>
      <c r="E1629"/>
      <c r="F1629" s="255"/>
      <c r="G1629" s="255"/>
      <c r="H1629" s="255"/>
      <c r="I1629" s="255"/>
      <c r="J1629" s="255"/>
      <c r="K1629" s="255"/>
    </row>
    <row r="1630" spans="1:11" ht="13.5" customHeight="1">
      <c r="A1630"/>
      <c r="B1630"/>
      <c r="C1630"/>
      <c r="D1630"/>
      <c r="E1630"/>
      <c r="F1630" s="255"/>
      <c r="G1630" s="255"/>
      <c r="H1630" s="255"/>
      <c r="I1630" s="255"/>
      <c r="J1630" s="255"/>
      <c r="K1630" s="255"/>
    </row>
    <row r="1631" spans="1:11" ht="13.5" customHeight="1">
      <c r="A1631"/>
      <c r="B1631"/>
      <c r="C1631"/>
      <c r="D1631"/>
      <c r="E1631"/>
      <c r="F1631" s="255"/>
      <c r="G1631" s="255"/>
      <c r="H1631" s="255"/>
      <c r="I1631" s="255"/>
      <c r="J1631" s="255"/>
      <c r="K1631" s="255"/>
    </row>
    <row r="1632" spans="1:11" ht="13.5" customHeight="1">
      <c r="A1632"/>
      <c r="B1632"/>
      <c r="C1632"/>
      <c r="D1632"/>
      <c r="E1632"/>
      <c r="F1632" s="255"/>
      <c r="G1632" s="255"/>
      <c r="H1632" s="255"/>
      <c r="I1632" s="255"/>
      <c r="J1632" s="255"/>
      <c r="K1632" s="255"/>
    </row>
    <row r="1633" spans="1:11" ht="13.5" customHeight="1">
      <c r="A1633"/>
      <c r="B1633"/>
      <c r="C1633"/>
      <c r="D1633"/>
      <c r="E1633"/>
      <c r="F1633" s="255"/>
      <c r="G1633" s="255"/>
      <c r="H1633" s="255"/>
      <c r="I1633" s="255"/>
      <c r="J1633" s="255"/>
      <c r="K1633" s="255"/>
    </row>
    <row r="1634" spans="1:11" ht="13.5" customHeight="1">
      <c r="A1634"/>
      <c r="B1634"/>
      <c r="C1634"/>
      <c r="D1634"/>
      <c r="E1634"/>
      <c r="F1634" s="255"/>
      <c r="G1634" s="255"/>
      <c r="H1634" s="255"/>
      <c r="I1634" s="255"/>
      <c r="J1634" s="255"/>
      <c r="K1634" s="255"/>
    </row>
    <row r="1635" spans="1:11" ht="13.5" customHeight="1">
      <c r="A1635"/>
      <c r="B1635"/>
      <c r="C1635"/>
      <c r="D1635"/>
      <c r="E1635"/>
      <c r="F1635" s="255"/>
      <c r="G1635" s="255"/>
      <c r="H1635" s="255"/>
      <c r="I1635" s="255"/>
      <c r="J1635" s="255"/>
      <c r="K1635" s="255"/>
    </row>
    <row r="1636" spans="1:11" ht="13.5" customHeight="1">
      <c r="A1636"/>
      <c r="B1636"/>
      <c r="C1636"/>
      <c r="D1636"/>
      <c r="E1636"/>
      <c r="F1636" s="255"/>
      <c r="G1636" s="255"/>
      <c r="H1636" s="255"/>
      <c r="I1636" s="255"/>
      <c r="J1636" s="255"/>
      <c r="K1636" s="255"/>
    </row>
    <row r="1637" spans="1:11" ht="13.5" customHeight="1">
      <c r="A1637"/>
      <c r="B1637"/>
      <c r="C1637"/>
      <c r="D1637"/>
      <c r="E1637"/>
      <c r="F1637" s="255"/>
      <c r="G1637" s="255"/>
      <c r="H1637" s="255"/>
      <c r="I1637" s="255"/>
      <c r="J1637" s="255"/>
      <c r="K1637" s="255"/>
    </row>
    <row r="1638" spans="1:11" ht="13.5" customHeight="1">
      <c r="A1638"/>
      <c r="B1638"/>
      <c r="C1638"/>
      <c r="D1638"/>
      <c r="E1638"/>
      <c r="F1638" s="255"/>
      <c r="G1638" s="255"/>
      <c r="H1638" s="255"/>
      <c r="I1638" s="255"/>
      <c r="J1638" s="255"/>
      <c r="K1638" s="255"/>
    </row>
    <row r="1639" spans="1:11" ht="13.5" customHeight="1">
      <c r="A1639"/>
      <c r="B1639"/>
      <c r="C1639"/>
      <c r="D1639"/>
      <c r="E1639"/>
      <c r="F1639" s="255"/>
      <c r="G1639" s="255"/>
      <c r="H1639" s="255"/>
      <c r="I1639" s="255"/>
      <c r="J1639" s="255"/>
      <c r="K1639" s="255"/>
    </row>
    <row r="1640" spans="1:11" ht="13.5" customHeight="1">
      <c r="A1640"/>
      <c r="B1640"/>
      <c r="C1640"/>
      <c r="D1640"/>
      <c r="E1640"/>
      <c r="F1640" s="255"/>
      <c r="G1640" s="255"/>
      <c r="H1640" s="255"/>
      <c r="I1640" s="255"/>
      <c r="J1640" s="255"/>
      <c r="K1640" s="255"/>
    </row>
    <row r="1641" spans="1:11" ht="13.5" customHeight="1">
      <c r="A1641"/>
      <c r="B1641"/>
      <c r="C1641"/>
      <c r="D1641"/>
      <c r="E1641"/>
      <c r="F1641" s="255"/>
      <c r="G1641" s="255"/>
      <c r="H1641" s="255"/>
      <c r="I1641" s="255"/>
      <c r="J1641" s="255"/>
      <c r="K1641" s="255"/>
    </row>
    <row r="1642" spans="1:11" ht="13.5" customHeight="1">
      <c r="A1642"/>
      <c r="B1642"/>
      <c r="C1642"/>
      <c r="D1642"/>
      <c r="E1642"/>
      <c r="F1642" s="255"/>
      <c r="G1642" s="255"/>
      <c r="H1642" s="255"/>
      <c r="I1642" s="255"/>
      <c r="J1642" s="255"/>
      <c r="K1642" s="255"/>
    </row>
    <row r="1643" spans="1:11" ht="13.5" customHeight="1">
      <c r="A1643"/>
      <c r="B1643"/>
      <c r="C1643"/>
      <c r="D1643"/>
      <c r="E1643"/>
      <c r="F1643" s="255"/>
      <c r="G1643" s="255"/>
      <c r="H1643" s="255"/>
      <c r="I1643" s="255"/>
      <c r="J1643" s="255"/>
      <c r="K1643" s="255"/>
    </row>
    <row r="1644" spans="1:11" ht="13.5" customHeight="1">
      <c r="A1644"/>
      <c r="B1644"/>
      <c r="C1644"/>
      <c r="D1644"/>
      <c r="E1644"/>
      <c r="F1644" s="255"/>
      <c r="G1644" s="255"/>
      <c r="H1644" s="255"/>
      <c r="I1644" s="255"/>
      <c r="J1644" s="255"/>
      <c r="K1644" s="255"/>
    </row>
    <row r="1645" spans="1:11" ht="13.5" customHeight="1">
      <c r="A1645"/>
      <c r="B1645"/>
      <c r="C1645"/>
      <c r="D1645"/>
      <c r="E1645"/>
      <c r="F1645" s="255"/>
      <c r="G1645" s="255"/>
      <c r="H1645" s="255"/>
      <c r="I1645" s="255"/>
      <c r="J1645" s="255"/>
      <c r="K1645" s="255"/>
    </row>
    <row r="1646" spans="1:11" ht="13.5" customHeight="1">
      <c r="A1646"/>
      <c r="B1646"/>
      <c r="C1646"/>
      <c r="D1646"/>
      <c r="E1646"/>
      <c r="F1646" s="255"/>
      <c r="G1646" s="255"/>
      <c r="H1646" s="255"/>
      <c r="I1646" s="255"/>
      <c r="J1646" s="255"/>
      <c r="K1646" s="255"/>
    </row>
    <row r="1647" spans="1:11" ht="13.5" customHeight="1">
      <c r="A1647"/>
      <c r="B1647"/>
      <c r="C1647"/>
      <c r="D1647"/>
      <c r="E1647"/>
      <c r="F1647" s="255"/>
      <c r="G1647" s="255"/>
      <c r="H1647" s="255"/>
      <c r="I1647" s="255"/>
      <c r="J1647" s="255"/>
      <c r="K1647" s="255"/>
    </row>
    <row r="1648" spans="1:11" ht="13.5" customHeight="1">
      <c r="A1648"/>
      <c r="B1648"/>
      <c r="C1648"/>
      <c r="D1648"/>
      <c r="E1648"/>
      <c r="F1648" s="255"/>
      <c r="G1648" s="255"/>
      <c r="H1648" s="255"/>
      <c r="I1648" s="255"/>
      <c r="J1648" s="255"/>
      <c r="K1648" s="255"/>
    </row>
    <row r="1649" spans="1:11" ht="13.5" customHeight="1">
      <c r="A1649"/>
      <c r="B1649"/>
      <c r="C1649"/>
      <c r="D1649"/>
      <c r="E1649"/>
      <c r="F1649" s="255"/>
      <c r="G1649" s="255"/>
      <c r="H1649" s="255"/>
      <c r="I1649" s="255"/>
      <c r="J1649" s="255"/>
      <c r="K1649" s="255"/>
    </row>
    <row r="1650" spans="1:11" ht="13.5" customHeight="1">
      <c r="A1650"/>
      <c r="B1650"/>
      <c r="C1650"/>
      <c r="D1650"/>
      <c r="E1650"/>
      <c r="F1650" s="255"/>
      <c r="G1650" s="255"/>
      <c r="H1650" s="255"/>
      <c r="I1650" s="255"/>
      <c r="J1650" s="255"/>
      <c r="K1650" s="255"/>
    </row>
    <row r="1651" spans="1:11" ht="13.5" customHeight="1">
      <c r="A1651"/>
      <c r="B1651"/>
      <c r="C1651"/>
      <c r="D1651"/>
      <c r="E1651"/>
      <c r="F1651" s="255"/>
      <c r="G1651" s="255"/>
      <c r="H1651" s="255"/>
      <c r="I1651" s="255"/>
      <c r="J1651" s="255"/>
      <c r="K1651" s="255"/>
    </row>
    <row r="1652" spans="1:11" ht="13.5" customHeight="1">
      <c r="A1652"/>
      <c r="B1652"/>
      <c r="C1652"/>
      <c r="D1652"/>
      <c r="E1652"/>
      <c r="F1652" s="255"/>
      <c r="G1652" s="255"/>
      <c r="H1652" s="255"/>
      <c r="I1652" s="255"/>
      <c r="J1652" s="255"/>
      <c r="K1652" s="255"/>
    </row>
    <row r="1653" spans="1:11" ht="13.5" customHeight="1">
      <c r="A1653"/>
      <c r="B1653"/>
      <c r="C1653"/>
      <c r="D1653"/>
      <c r="E1653"/>
      <c r="F1653" s="255"/>
      <c r="G1653" s="255"/>
      <c r="H1653" s="255"/>
      <c r="I1653" s="255"/>
      <c r="J1653" s="255"/>
      <c r="K1653" s="255"/>
    </row>
    <row r="1654" spans="1:11" ht="13.5" customHeight="1">
      <c r="A1654"/>
      <c r="B1654"/>
      <c r="C1654"/>
      <c r="D1654"/>
      <c r="E1654"/>
      <c r="F1654" s="255"/>
      <c r="G1654" s="255"/>
      <c r="H1654" s="255"/>
      <c r="I1654" s="255"/>
      <c r="J1654" s="255"/>
      <c r="K1654" s="255"/>
    </row>
    <row r="1655" spans="1:11" ht="13.5" customHeight="1">
      <c r="A1655"/>
      <c r="B1655"/>
      <c r="C1655"/>
      <c r="D1655"/>
      <c r="E1655"/>
      <c r="F1655" s="255"/>
      <c r="G1655" s="255"/>
      <c r="H1655" s="255"/>
      <c r="I1655" s="255"/>
      <c r="J1655" s="255"/>
      <c r="K1655" s="255"/>
    </row>
    <row r="1656" spans="1:11" ht="13.5" customHeight="1">
      <c r="A1656"/>
      <c r="B1656"/>
      <c r="C1656"/>
      <c r="D1656"/>
      <c r="E1656"/>
      <c r="F1656" s="255"/>
      <c r="G1656" s="255"/>
      <c r="H1656" s="255"/>
      <c r="I1656" s="255"/>
      <c r="J1656" s="255"/>
      <c r="K1656" s="255"/>
    </row>
    <row r="1657" spans="1:11" ht="13.5" customHeight="1">
      <c r="A1657"/>
      <c r="B1657"/>
      <c r="C1657"/>
      <c r="D1657"/>
      <c r="E1657"/>
      <c r="F1657" s="255"/>
      <c r="G1657" s="255"/>
      <c r="H1657" s="255"/>
      <c r="I1657" s="255"/>
      <c r="J1657" s="255"/>
      <c r="K1657" s="255"/>
    </row>
    <row r="1658" spans="1:11" ht="13.5" customHeight="1">
      <c r="A1658"/>
      <c r="B1658"/>
      <c r="C1658"/>
      <c r="D1658"/>
      <c r="E1658"/>
      <c r="F1658" s="255"/>
      <c r="G1658" s="255"/>
      <c r="H1658" s="255"/>
      <c r="I1658" s="255"/>
      <c r="J1658" s="255"/>
      <c r="K1658" s="255"/>
    </row>
    <row r="1659" spans="1:11" ht="13.5" customHeight="1">
      <c r="A1659"/>
      <c r="B1659"/>
      <c r="C1659"/>
      <c r="D1659"/>
      <c r="E1659"/>
      <c r="F1659" s="255"/>
      <c r="G1659" s="255"/>
      <c r="H1659" s="255"/>
      <c r="I1659" s="255"/>
      <c r="J1659" s="255"/>
      <c r="K1659" s="255"/>
    </row>
    <row r="1660" spans="1:11" ht="13.5" customHeight="1">
      <c r="A1660"/>
      <c r="B1660"/>
      <c r="C1660"/>
      <c r="D1660"/>
      <c r="E1660"/>
      <c r="F1660" s="255"/>
      <c r="G1660" s="255"/>
      <c r="H1660" s="255"/>
      <c r="I1660" s="255"/>
      <c r="J1660" s="255"/>
      <c r="K1660" s="255"/>
    </row>
    <row r="1661" spans="1:11" ht="13.5" customHeight="1">
      <c r="A1661"/>
      <c r="B1661"/>
      <c r="C1661"/>
      <c r="D1661"/>
      <c r="E1661"/>
      <c r="F1661" s="255"/>
      <c r="G1661" s="255"/>
      <c r="H1661" s="255"/>
      <c r="I1661" s="255"/>
      <c r="J1661" s="255"/>
      <c r="K1661" s="255"/>
    </row>
    <row r="1662" spans="1:11" ht="13.5" customHeight="1">
      <c r="A1662"/>
      <c r="B1662"/>
      <c r="C1662"/>
      <c r="D1662"/>
      <c r="E1662"/>
      <c r="F1662" s="255"/>
      <c r="G1662" s="255"/>
      <c r="H1662" s="255"/>
      <c r="I1662" s="255"/>
      <c r="J1662" s="255"/>
      <c r="K1662" s="255"/>
    </row>
    <row r="1663" spans="1:11" ht="13.5" customHeight="1">
      <c r="A1663"/>
      <c r="B1663"/>
      <c r="C1663"/>
      <c r="D1663"/>
      <c r="E1663"/>
      <c r="F1663" s="255"/>
      <c r="G1663" s="255"/>
      <c r="H1663" s="255"/>
      <c r="I1663" s="255"/>
      <c r="J1663" s="255"/>
      <c r="K1663" s="255"/>
    </row>
    <row r="1664" spans="1:11" ht="13.5" customHeight="1">
      <c r="A1664"/>
      <c r="B1664"/>
      <c r="C1664"/>
      <c r="D1664"/>
      <c r="E1664"/>
      <c r="F1664" s="255"/>
      <c r="G1664" s="255"/>
      <c r="H1664" s="255"/>
      <c r="I1664" s="255"/>
      <c r="J1664" s="255"/>
      <c r="K1664" s="255"/>
    </row>
    <row r="1665" spans="1:11" ht="13.5" customHeight="1">
      <c r="A1665"/>
      <c r="B1665"/>
      <c r="C1665"/>
      <c r="D1665"/>
      <c r="E1665"/>
      <c r="F1665" s="255"/>
      <c r="G1665" s="255"/>
      <c r="H1665" s="255"/>
      <c r="I1665" s="255"/>
      <c r="J1665" s="255"/>
      <c r="K1665" s="255"/>
    </row>
    <row r="1666" spans="1:11" ht="13.5" customHeight="1">
      <c r="A1666"/>
      <c r="B1666"/>
      <c r="C1666"/>
      <c r="D1666"/>
      <c r="E1666"/>
      <c r="F1666" s="255"/>
      <c r="G1666" s="255"/>
      <c r="H1666" s="255"/>
      <c r="I1666" s="255"/>
      <c r="J1666" s="255"/>
      <c r="K1666" s="255"/>
    </row>
    <row r="1667" spans="1:11" ht="13.5" customHeight="1">
      <c r="A1667"/>
      <c r="B1667"/>
      <c r="C1667"/>
      <c r="D1667"/>
      <c r="E1667"/>
      <c r="F1667" s="255"/>
      <c r="G1667" s="255"/>
      <c r="H1667" s="255"/>
      <c r="I1667" s="255"/>
      <c r="J1667" s="255"/>
      <c r="K1667" s="255"/>
    </row>
    <row r="1668" spans="1:11" ht="13.5" customHeight="1">
      <c r="A1668"/>
      <c r="B1668"/>
      <c r="C1668"/>
      <c r="D1668"/>
      <c r="E1668"/>
      <c r="F1668" s="255"/>
      <c r="G1668" s="255"/>
      <c r="H1668" s="255"/>
      <c r="I1668" s="255"/>
      <c r="J1668" s="255"/>
      <c r="K1668" s="255"/>
    </row>
    <row r="1669" spans="1:11" ht="13.5" customHeight="1">
      <c r="A1669"/>
      <c r="B1669"/>
      <c r="C1669"/>
      <c r="D1669"/>
      <c r="E1669"/>
      <c r="F1669" s="255"/>
      <c r="G1669" s="255"/>
      <c r="H1669" s="255"/>
      <c r="I1669" s="255"/>
      <c r="J1669" s="255"/>
      <c r="K1669" s="255"/>
    </row>
    <row r="1670" spans="1:11" ht="13.5" customHeight="1">
      <c r="A1670"/>
      <c r="B1670"/>
      <c r="C1670"/>
      <c r="D1670"/>
      <c r="E1670"/>
      <c r="F1670" s="255"/>
      <c r="G1670" s="255"/>
      <c r="H1670" s="255"/>
      <c r="I1670" s="255"/>
      <c r="J1670" s="255"/>
      <c r="K1670" s="255"/>
    </row>
    <row r="1671" spans="1:11" ht="13.5" customHeight="1">
      <c r="A1671"/>
      <c r="B1671"/>
      <c r="C1671"/>
      <c r="D1671"/>
      <c r="E1671"/>
      <c r="F1671" s="255"/>
      <c r="G1671" s="255"/>
      <c r="H1671" s="255"/>
      <c r="I1671" s="255"/>
      <c r="J1671" s="255"/>
      <c r="K1671" s="255"/>
    </row>
    <row r="1672" spans="1:11" ht="13.5" customHeight="1">
      <c r="A1672"/>
      <c r="B1672"/>
      <c r="C1672"/>
      <c r="D1672"/>
      <c r="E1672"/>
      <c r="F1672" s="255"/>
      <c r="G1672" s="255"/>
      <c r="H1672" s="255"/>
      <c r="I1672" s="255"/>
      <c r="J1672" s="255"/>
      <c r="K1672" s="255"/>
    </row>
    <row r="1673" spans="1:11" ht="13.5" customHeight="1">
      <c r="A1673"/>
      <c r="B1673"/>
      <c r="C1673"/>
      <c r="D1673"/>
      <c r="E1673"/>
      <c r="F1673" s="255"/>
      <c r="G1673" s="255"/>
      <c r="H1673" s="255"/>
      <c r="I1673" s="255"/>
      <c r="J1673" s="255"/>
      <c r="K1673" s="255"/>
    </row>
    <row r="1674" spans="1:11" ht="13.5" customHeight="1">
      <c r="A1674"/>
      <c r="B1674"/>
      <c r="C1674"/>
      <c r="D1674"/>
      <c r="E1674"/>
      <c r="F1674" s="255"/>
      <c r="G1674" s="255"/>
      <c r="H1674" s="255"/>
      <c r="I1674" s="255"/>
      <c r="J1674" s="255"/>
      <c r="K1674" s="255"/>
    </row>
    <row r="1675" spans="1:11" ht="13.5" customHeight="1">
      <c r="A1675"/>
      <c r="B1675"/>
      <c r="C1675"/>
      <c r="D1675"/>
      <c r="E1675"/>
      <c r="F1675" s="255"/>
      <c r="G1675" s="255"/>
      <c r="H1675" s="255"/>
      <c r="I1675" s="255"/>
      <c r="J1675" s="255"/>
      <c r="K1675" s="255"/>
    </row>
    <row r="1676" spans="1:11" ht="13.5" customHeight="1">
      <c r="A1676"/>
      <c r="B1676"/>
      <c r="C1676"/>
      <c r="D1676"/>
      <c r="E1676"/>
      <c r="F1676" s="255"/>
      <c r="G1676" s="255"/>
      <c r="H1676" s="255"/>
      <c r="I1676" s="255"/>
      <c r="J1676" s="255"/>
      <c r="K1676" s="255"/>
    </row>
    <row r="1677" spans="1:11" ht="13.5" customHeight="1">
      <c r="A1677"/>
      <c r="B1677"/>
      <c r="C1677"/>
      <c r="D1677"/>
      <c r="E1677"/>
      <c r="F1677" s="255"/>
      <c r="G1677" s="255"/>
      <c r="H1677" s="255"/>
      <c r="I1677" s="255"/>
      <c r="J1677" s="255"/>
      <c r="K1677" s="255"/>
    </row>
    <row r="1678" spans="1:11" ht="13.5" customHeight="1">
      <c r="A1678"/>
      <c r="B1678"/>
      <c r="C1678"/>
      <c r="D1678"/>
      <c r="E1678"/>
      <c r="F1678" s="255"/>
      <c r="G1678" s="255"/>
      <c r="H1678" s="255"/>
      <c r="I1678" s="255"/>
      <c r="J1678" s="255"/>
      <c r="K1678" s="255"/>
    </row>
    <row r="1679" spans="1:11" ht="13.5" customHeight="1">
      <c r="A1679"/>
      <c r="B1679"/>
      <c r="C1679"/>
      <c r="D1679"/>
      <c r="E1679"/>
      <c r="F1679" s="255"/>
      <c r="G1679" s="255"/>
      <c r="H1679" s="255"/>
      <c r="I1679" s="255"/>
      <c r="J1679" s="255"/>
      <c r="K1679" s="255"/>
    </row>
    <row r="1680" spans="1:11" ht="13.5" customHeight="1">
      <c r="A1680"/>
      <c r="B1680"/>
      <c r="C1680"/>
      <c r="D1680"/>
      <c r="E1680"/>
      <c r="F1680" s="255"/>
      <c r="G1680" s="255"/>
      <c r="H1680" s="255"/>
      <c r="I1680" s="255"/>
      <c r="J1680" s="255"/>
      <c r="K1680" s="255"/>
    </row>
    <row r="1681" spans="1:11" ht="13.5" customHeight="1">
      <c r="A1681"/>
      <c r="B1681"/>
      <c r="C1681"/>
      <c r="D1681"/>
      <c r="E1681"/>
      <c r="F1681" s="255"/>
      <c r="G1681" s="255"/>
      <c r="H1681" s="255"/>
      <c r="I1681" s="255"/>
      <c r="J1681" s="255"/>
      <c r="K1681" s="255"/>
    </row>
    <row r="1682" spans="1:11" ht="13.5" customHeight="1">
      <c r="A1682"/>
      <c r="B1682"/>
      <c r="C1682"/>
      <c r="D1682"/>
      <c r="E1682"/>
      <c r="F1682" s="255"/>
      <c r="G1682" s="255"/>
      <c r="H1682" s="255"/>
      <c r="I1682" s="255"/>
      <c r="J1682" s="255"/>
      <c r="K1682" s="255"/>
    </row>
    <row r="1683" spans="1:11" ht="13.5" customHeight="1">
      <c r="A1683"/>
      <c r="B1683"/>
      <c r="C1683"/>
      <c r="D1683"/>
      <c r="E1683"/>
      <c r="F1683" s="255"/>
      <c r="G1683" s="255"/>
      <c r="H1683" s="255"/>
      <c r="I1683" s="255"/>
      <c r="J1683" s="255"/>
      <c r="K1683" s="255"/>
    </row>
    <row r="1684" spans="1:11" ht="13.5" customHeight="1">
      <c r="A1684"/>
      <c r="B1684"/>
      <c r="C1684"/>
      <c r="D1684"/>
      <c r="E1684"/>
      <c r="F1684" s="255"/>
      <c r="G1684" s="255"/>
      <c r="H1684" s="255"/>
      <c r="I1684" s="255"/>
      <c r="J1684" s="255"/>
      <c r="K1684" s="255"/>
    </row>
    <row r="1685" spans="1:11" ht="13.5" customHeight="1">
      <c r="A1685"/>
      <c r="B1685"/>
      <c r="C1685"/>
      <c r="D1685"/>
      <c r="E1685"/>
      <c r="F1685" s="255"/>
      <c r="G1685" s="255"/>
      <c r="H1685" s="255"/>
      <c r="I1685" s="255"/>
      <c r="J1685" s="255"/>
      <c r="K1685" s="255"/>
    </row>
    <row r="1686" spans="1:11" ht="13.5" customHeight="1">
      <c r="A1686"/>
      <c r="B1686"/>
      <c r="C1686"/>
      <c r="D1686"/>
      <c r="E1686"/>
      <c r="F1686" s="255"/>
      <c r="G1686" s="255"/>
      <c r="H1686" s="255"/>
      <c r="I1686" s="255"/>
      <c r="J1686" s="255"/>
      <c r="K1686" s="255"/>
    </row>
    <row r="1687" spans="1:11" ht="13.5" customHeight="1">
      <c r="A1687"/>
      <c r="B1687"/>
      <c r="C1687"/>
      <c r="D1687"/>
      <c r="E1687"/>
      <c r="F1687" s="255"/>
      <c r="G1687" s="255"/>
      <c r="H1687" s="255"/>
      <c r="I1687" s="255"/>
      <c r="J1687" s="255"/>
      <c r="K1687" s="255"/>
    </row>
    <row r="1688" spans="1:11" ht="13.5" customHeight="1">
      <c r="A1688"/>
      <c r="B1688"/>
      <c r="C1688"/>
      <c r="D1688"/>
      <c r="E1688"/>
      <c r="F1688" s="255"/>
      <c r="G1688" s="255"/>
      <c r="H1688" s="255"/>
      <c r="I1688" s="255"/>
      <c r="J1688" s="255"/>
      <c r="K1688" s="255"/>
    </row>
    <row r="1689" spans="1:11" ht="13.5" customHeight="1">
      <c r="A1689"/>
      <c r="B1689"/>
      <c r="C1689"/>
      <c r="D1689"/>
      <c r="E1689"/>
      <c r="F1689" s="255"/>
      <c r="G1689" s="255"/>
      <c r="H1689" s="255"/>
      <c r="I1689" s="255"/>
      <c r="J1689" s="255"/>
      <c r="K1689" s="255"/>
    </row>
    <row r="1690" spans="1:11" ht="13.5" customHeight="1">
      <c r="A1690"/>
      <c r="B1690"/>
      <c r="C1690"/>
      <c r="D1690"/>
      <c r="E1690"/>
      <c r="F1690" s="255"/>
      <c r="G1690" s="255"/>
      <c r="H1690" s="255"/>
      <c r="I1690" s="255"/>
      <c r="J1690" s="255"/>
      <c r="K1690" s="255"/>
    </row>
    <row r="1691" spans="1:11" ht="13.5" customHeight="1">
      <c r="A1691"/>
      <c r="B1691"/>
      <c r="C1691"/>
      <c r="D1691"/>
      <c r="E1691"/>
      <c r="F1691" s="255"/>
      <c r="G1691" s="255"/>
      <c r="H1691" s="255"/>
      <c r="I1691" s="255"/>
      <c r="J1691" s="255"/>
      <c r="K1691" s="255"/>
    </row>
    <row r="1692" spans="1:11" ht="13.5" customHeight="1">
      <c r="A1692"/>
      <c r="B1692"/>
      <c r="C1692"/>
      <c r="D1692"/>
      <c r="E1692"/>
      <c r="F1692" s="255"/>
      <c r="G1692" s="255"/>
      <c r="H1692" s="255"/>
      <c r="I1692" s="255"/>
      <c r="J1692" s="255"/>
      <c r="K1692" s="255"/>
    </row>
    <row r="1693" spans="1:11" ht="13.5" customHeight="1">
      <c r="A1693"/>
      <c r="B1693"/>
      <c r="C1693"/>
      <c r="D1693"/>
      <c r="E1693"/>
      <c r="F1693" s="255"/>
      <c r="G1693" s="255"/>
      <c r="H1693" s="255"/>
      <c r="I1693" s="255"/>
      <c r="J1693" s="255"/>
      <c r="K1693" s="255"/>
    </row>
    <row r="1694" spans="1:11" ht="13.5" customHeight="1">
      <c r="A1694"/>
      <c r="B1694"/>
      <c r="C1694"/>
      <c r="D1694"/>
      <c r="E1694"/>
      <c r="F1694" s="255"/>
      <c r="G1694" s="255"/>
      <c r="H1694" s="255"/>
      <c r="I1694" s="255"/>
      <c r="J1694" s="255"/>
      <c r="K1694" s="255"/>
    </row>
    <row r="1695" spans="1:11" ht="13.5" customHeight="1">
      <c r="A1695"/>
      <c r="B1695"/>
      <c r="C1695"/>
      <c r="D1695"/>
      <c r="E1695"/>
      <c r="F1695" s="255"/>
      <c r="G1695" s="255"/>
      <c r="H1695" s="255"/>
      <c r="I1695" s="255"/>
      <c r="J1695" s="255"/>
      <c r="K1695" s="255"/>
    </row>
    <row r="1696" spans="1:11" ht="13.5" customHeight="1">
      <c r="A1696"/>
      <c r="B1696"/>
      <c r="C1696"/>
      <c r="D1696"/>
      <c r="E1696"/>
      <c r="F1696" s="255"/>
      <c r="G1696" s="255"/>
      <c r="H1696" s="255"/>
      <c r="I1696" s="255"/>
      <c r="J1696" s="255"/>
      <c r="K1696" s="255"/>
    </row>
    <row r="1697" spans="1:11" ht="13.5" customHeight="1">
      <c r="A1697"/>
      <c r="B1697"/>
      <c r="C1697"/>
      <c r="D1697"/>
      <c r="E1697"/>
      <c r="F1697" s="255"/>
      <c r="G1697" s="255"/>
      <c r="H1697" s="255"/>
      <c r="I1697" s="255"/>
      <c r="J1697" s="255"/>
      <c r="K1697" s="255"/>
    </row>
    <row r="1698" spans="1:11" ht="13.5" customHeight="1">
      <c r="A1698"/>
      <c r="B1698"/>
      <c r="C1698"/>
      <c r="D1698"/>
      <c r="E1698"/>
      <c r="F1698" s="255"/>
      <c r="G1698" s="255"/>
      <c r="H1698" s="255"/>
      <c r="I1698" s="255"/>
      <c r="J1698" s="255"/>
      <c r="K1698" s="255"/>
    </row>
    <row r="1699" spans="1:11" ht="13.5" customHeight="1">
      <c r="A1699"/>
      <c r="B1699"/>
      <c r="C1699"/>
      <c r="D1699"/>
      <c r="E1699"/>
      <c r="F1699" s="255"/>
      <c r="G1699" s="255"/>
      <c r="H1699" s="255"/>
      <c r="I1699" s="255"/>
      <c r="J1699" s="255"/>
      <c r="K1699" s="255"/>
    </row>
    <row r="1700" spans="1:11" ht="13.5" customHeight="1">
      <c r="A1700"/>
      <c r="B1700"/>
      <c r="C1700"/>
      <c r="D1700"/>
      <c r="E1700"/>
      <c r="F1700" s="255"/>
      <c r="G1700" s="255"/>
      <c r="H1700" s="255"/>
      <c r="I1700" s="255"/>
      <c r="J1700" s="255"/>
      <c r="K1700" s="255"/>
    </row>
    <row r="1701" spans="1:11" ht="13.5" customHeight="1">
      <c r="A1701"/>
      <c r="B1701"/>
      <c r="C1701"/>
      <c r="D1701"/>
      <c r="E1701"/>
      <c r="F1701" s="255"/>
      <c r="G1701" s="255"/>
      <c r="H1701" s="255"/>
      <c r="I1701" s="255"/>
      <c r="J1701" s="255"/>
      <c r="K1701" s="255"/>
    </row>
    <row r="1702" spans="1:11" ht="13.5" customHeight="1">
      <c r="A1702"/>
      <c r="B1702"/>
      <c r="C1702"/>
      <c r="D1702"/>
      <c r="E1702"/>
      <c r="F1702" s="255"/>
      <c r="G1702" s="255"/>
      <c r="H1702" s="255"/>
      <c r="I1702" s="255"/>
      <c r="J1702" s="255"/>
      <c r="K1702" s="255"/>
    </row>
    <row r="1703" spans="1:11" ht="13.5" customHeight="1">
      <c r="A1703"/>
      <c r="B1703"/>
      <c r="C1703"/>
      <c r="D1703"/>
      <c r="E1703"/>
      <c r="F1703" s="255"/>
      <c r="G1703" s="255"/>
      <c r="H1703" s="255"/>
      <c r="I1703" s="255"/>
      <c r="J1703" s="255"/>
      <c r="K1703" s="255"/>
    </row>
    <row r="1704" spans="1:11" ht="13.5" customHeight="1">
      <c r="A1704"/>
      <c r="B1704"/>
      <c r="C1704"/>
      <c r="D1704"/>
      <c r="E1704"/>
      <c r="F1704" s="255"/>
      <c r="G1704" s="255"/>
      <c r="H1704" s="255"/>
      <c r="I1704" s="255"/>
      <c r="J1704" s="255"/>
      <c r="K1704" s="255"/>
    </row>
    <row r="1705" spans="1:11" ht="13.5" customHeight="1">
      <c r="A1705"/>
      <c r="B1705"/>
      <c r="C1705"/>
      <c r="D1705"/>
      <c r="E1705"/>
      <c r="F1705" s="255"/>
      <c r="G1705" s="255"/>
      <c r="H1705" s="255"/>
      <c r="I1705" s="255"/>
      <c r="J1705" s="255"/>
      <c r="K1705" s="255"/>
    </row>
    <row r="1706" spans="1:11" ht="13.5" customHeight="1">
      <c r="A1706"/>
      <c r="B1706"/>
      <c r="C1706"/>
      <c r="D1706"/>
      <c r="E1706"/>
      <c r="F1706" s="255"/>
      <c r="G1706" s="255"/>
      <c r="H1706" s="255"/>
      <c r="I1706" s="255"/>
      <c r="J1706" s="255"/>
      <c r="K1706" s="255"/>
    </row>
    <row r="1707" spans="1:11" ht="13.5" customHeight="1">
      <c r="A1707"/>
      <c r="B1707"/>
      <c r="C1707"/>
      <c r="D1707"/>
      <c r="E1707"/>
      <c r="F1707" s="255"/>
      <c r="G1707" s="255"/>
      <c r="H1707" s="255"/>
      <c r="I1707" s="255"/>
      <c r="J1707" s="255"/>
      <c r="K1707" s="255"/>
    </row>
    <row r="1708" spans="1:11" ht="13.5" customHeight="1">
      <c r="A1708"/>
      <c r="B1708"/>
      <c r="C1708"/>
      <c r="D1708"/>
      <c r="E1708"/>
      <c r="F1708" s="255"/>
      <c r="G1708" s="255"/>
      <c r="H1708" s="255"/>
      <c r="I1708" s="255"/>
      <c r="J1708" s="255"/>
      <c r="K1708" s="255"/>
    </row>
    <row r="1709" spans="1:11" ht="13.5" customHeight="1">
      <c r="A1709"/>
      <c r="B1709"/>
      <c r="C1709"/>
      <c r="D1709"/>
      <c r="E1709"/>
      <c r="F1709" s="255"/>
      <c r="G1709" s="255"/>
      <c r="H1709" s="255"/>
      <c r="I1709" s="255"/>
      <c r="J1709" s="255"/>
      <c r="K1709" s="255"/>
    </row>
    <row r="1710" spans="1:11" ht="13.5" customHeight="1">
      <c r="A1710"/>
      <c r="B1710"/>
      <c r="C1710"/>
      <c r="D1710"/>
      <c r="E1710"/>
      <c r="F1710" s="255"/>
      <c r="G1710" s="255"/>
      <c r="H1710" s="255"/>
      <c r="I1710" s="255"/>
      <c r="J1710" s="255"/>
      <c r="K1710" s="255"/>
    </row>
    <row r="1711" spans="1:11" ht="13.5" customHeight="1">
      <c r="A1711"/>
      <c r="B1711"/>
      <c r="C1711"/>
      <c r="D1711"/>
      <c r="E1711"/>
      <c r="F1711" s="255"/>
      <c r="G1711" s="255"/>
      <c r="H1711" s="255"/>
      <c r="I1711" s="255"/>
      <c r="J1711" s="255"/>
      <c r="K1711" s="255"/>
    </row>
    <row r="1712" spans="1:11" ht="13.5" customHeight="1">
      <c r="A1712"/>
      <c r="B1712"/>
      <c r="C1712"/>
      <c r="D1712"/>
      <c r="E1712"/>
      <c r="F1712" s="255"/>
      <c r="G1712" s="255"/>
      <c r="H1712" s="255"/>
      <c r="I1712" s="255"/>
      <c r="J1712" s="255"/>
      <c r="K1712" s="255"/>
    </row>
    <row r="1713" spans="1:11" ht="13.5" customHeight="1">
      <c r="A1713"/>
      <c r="B1713"/>
      <c r="C1713"/>
      <c r="D1713"/>
      <c r="E1713"/>
      <c r="F1713" s="255"/>
      <c r="G1713" s="255"/>
      <c r="H1713" s="255"/>
      <c r="I1713" s="255"/>
      <c r="J1713" s="255"/>
      <c r="K1713" s="255"/>
    </row>
    <row r="1714" spans="1:11" ht="13.5" customHeight="1">
      <c r="A1714"/>
      <c r="B1714"/>
      <c r="C1714"/>
      <c r="D1714"/>
      <c r="E1714"/>
      <c r="F1714" s="255"/>
      <c r="G1714" s="255"/>
      <c r="H1714" s="255"/>
      <c r="I1714" s="255"/>
      <c r="J1714" s="255"/>
      <c r="K1714" s="255"/>
    </row>
    <row r="1715" spans="1:11" ht="13.5" customHeight="1">
      <c r="A1715"/>
      <c r="B1715"/>
      <c r="C1715"/>
      <c r="D1715"/>
      <c r="E1715"/>
      <c r="F1715" s="255"/>
      <c r="G1715" s="255"/>
      <c r="H1715" s="255"/>
      <c r="I1715" s="255"/>
      <c r="J1715" s="255"/>
      <c r="K1715" s="255"/>
    </row>
    <row r="1716" spans="1:11" ht="13.5" customHeight="1">
      <c r="A1716"/>
      <c r="B1716"/>
      <c r="C1716"/>
      <c r="D1716"/>
      <c r="E1716"/>
      <c r="F1716" s="255"/>
      <c r="G1716" s="255"/>
      <c r="H1716" s="255"/>
      <c r="I1716" s="255"/>
      <c r="J1716" s="255"/>
      <c r="K1716" s="255"/>
    </row>
    <row r="1717" spans="1:11" ht="13.5" customHeight="1">
      <c r="A1717"/>
      <c r="B1717"/>
      <c r="C1717"/>
      <c r="D1717"/>
      <c r="E1717"/>
      <c r="F1717" s="255"/>
      <c r="G1717" s="255"/>
      <c r="H1717" s="255"/>
      <c r="I1717" s="255"/>
      <c r="J1717" s="255"/>
      <c r="K1717" s="255"/>
    </row>
    <row r="1718" spans="1:11" ht="13.5" customHeight="1">
      <c r="A1718"/>
      <c r="B1718"/>
      <c r="C1718"/>
      <c r="D1718"/>
      <c r="E1718"/>
      <c r="F1718" s="255"/>
      <c r="G1718" s="255"/>
      <c r="H1718" s="255"/>
      <c r="I1718" s="255"/>
      <c r="J1718" s="255"/>
      <c r="K1718" s="255"/>
    </row>
    <row r="1719" spans="1:11" ht="13.5" customHeight="1">
      <c r="A1719"/>
      <c r="B1719"/>
      <c r="C1719"/>
      <c r="D1719"/>
      <c r="E1719"/>
      <c r="F1719" s="255"/>
      <c r="G1719" s="255"/>
      <c r="H1719" s="255"/>
      <c r="I1719" s="255"/>
      <c r="J1719" s="255"/>
      <c r="K1719" s="255"/>
    </row>
    <row r="1720" spans="1:11" ht="13.5" customHeight="1">
      <c r="A1720"/>
      <c r="B1720"/>
      <c r="C1720"/>
      <c r="D1720"/>
      <c r="E1720"/>
      <c r="F1720" s="255"/>
      <c r="G1720" s="255"/>
      <c r="H1720" s="255"/>
      <c r="I1720" s="255"/>
      <c r="J1720" s="255"/>
      <c r="K1720" s="255"/>
    </row>
    <row r="1721" spans="1:11" ht="13.5" customHeight="1">
      <c r="A1721"/>
      <c r="B1721"/>
      <c r="C1721"/>
      <c r="D1721"/>
      <c r="E1721"/>
      <c r="F1721" s="255"/>
      <c r="G1721" s="255"/>
      <c r="H1721" s="255"/>
      <c r="I1721" s="255"/>
      <c r="J1721" s="255"/>
      <c r="K1721" s="255"/>
    </row>
    <row r="1722" spans="1:11" ht="13.5" customHeight="1">
      <c r="A1722"/>
      <c r="B1722"/>
      <c r="C1722"/>
      <c r="D1722"/>
      <c r="E1722"/>
      <c r="F1722" s="255"/>
      <c r="G1722" s="255"/>
      <c r="H1722" s="255"/>
      <c r="I1722" s="255"/>
      <c r="J1722" s="255"/>
      <c r="K1722" s="255"/>
    </row>
    <row r="1723" spans="1:11" ht="13.5" customHeight="1">
      <c r="A1723"/>
      <c r="B1723"/>
      <c r="C1723"/>
      <c r="D1723"/>
      <c r="E1723"/>
      <c r="F1723" s="255"/>
      <c r="G1723" s="255"/>
      <c r="H1723" s="255"/>
      <c r="I1723" s="255"/>
      <c r="J1723" s="255"/>
      <c r="K1723" s="255"/>
    </row>
    <row r="1724" spans="1:11" ht="13.5" customHeight="1">
      <c r="A1724"/>
      <c r="B1724"/>
      <c r="C1724"/>
      <c r="D1724"/>
      <c r="E1724"/>
      <c r="F1724" s="255"/>
      <c r="G1724" s="255"/>
      <c r="H1724" s="255"/>
      <c r="I1724" s="255"/>
      <c r="J1724" s="255"/>
      <c r="K1724" s="255"/>
    </row>
    <row r="1725" spans="1:11" ht="13.5" customHeight="1">
      <c r="A1725"/>
      <c r="B1725"/>
      <c r="C1725"/>
      <c r="D1725"/>
      <c r="E1725"/>
      <c r="F1725" s="255"/>
      <c r="G1725" s="255"/>
      <c r="H1725" s="255"/>
      <c r="I1725" s="255"/>
      <c r="J1725" s="255"/>
      <c r="K1725" s="255"/>
    </row>
    <row r="1726" spans="1:11" ht="13.5" customHeight="1">
      <c r="A1726"/>
      <c r="B1726"/>
      <c r="C1726"/>
      <c r="D1726"/>
      <c r="E1726"/>
      <c r="F1726" s="255"/>
      <c r="G1726" s="255"/>
      <c r="H1726" s="255"/>
      <c r="I1726" s="255"/>
      <c r="J1726" s="255"/>
      <c r="K1726" s="255"/>
    </row>
    <row r="1727" spans="1:11" ht="13.5" customHeight="1">
      <c r="A1727"/>
      <c r="B1727"/>
      <c r="C1727"/>
      <c r="D1727"/>
      <c r="E1727"/>
      <c r="F1727" s="255"/>
      <c r="G1727" s="255"/>
      <c r="H1727" s="255"/>
      <c r="I1727" s="255"/>
      <c r="J1727" s="255"/>
      <c r="K1727" s="255"/>
    </row>
    <row r="1728" spans="1:11" ht="13.5" customHeight="1">
      <c r="A1728"/>
      <c r="B1728"/>
      <c r="C1728"/>
      <c r="D1728"/>
      <c r="E1728"/>
      <c r="F1728" s="255"/>
      <c r="G1728" s="255"/>
      <c r="H1728" s="255"/>
      <c r="I1728" s="255"/>
      <c r="J1728" s="255"/>
      <c r="K1728" s="255"/>
    </row>
    <row r="1729" spans="1:11" ht="13.5" customHeight="1">
      <c r="A1729"/>
      <c r="B1729"/>
      <c r="C1729"/>
      <c r="D1729"/>
      <c r="E1729"/>
      <c r="F1729" s="255"/>
      <c r="G1729" s="255"/>
      <c r="H1729" s="255"/>
      <c r="I1729" s="255"/>
      <c r="J1729" s="255"/>
      <c r="K1729" s="255"/>
    </row>
    <row r="1730" spans="1:11" ht="13.5" customHeight="1">
      <c r="A1730"/>
      <c r="B1730"/>
      <c r="C1730"/>
      <c r="D1730"/>
      <c r="E1730"/>
      <c r="F1730" s="255"/>
      <c r="G1730" s="255"/>
      <c r="H1730" s="255"/>
      <c r="I1730" s="255"/>
      <c r="J1730" s="255"/>
      <c r="K1730" s="255"/>
    </row>
    <row r="1731" spans="1:11" ht="13.5" customHeight="1">
      <c r="A1731"/>
      <c r="B1731"/>
      <c r="C1731"/>
      <c r="D1731"/>
      <c r="E1731"/>
      <c r="F1731" s="255"/>
      <c r="G1731" s="255"/>
      <c r="H1731" s="255"/>
      <c r="I1731" s="255"/>
      <c r="J1731" s="255"/>
      <c r="K1731" s="255"/>
    </row>
    <row r="1732" spans="1:11" ht="13.5" customHeight="1">
      <c r="A1732"/>
      <c r="B1732"/>
      <c r="C1732"/>
      <c r="D1732"/>
      <c r="E1732"/>
      <c r="F1732" s="255"/>
      <c r="G1732" s="255"/>
      <c r="H1732" s="255"/>
      <c r="I1732" s="255"/>
      <c r="J1732" s="255"/>
      <c r="K1732" s="255"/>
    </row>
    <row r="1733" spans="1:11" ht="13.5" customHeight="1">
      <c r="A1733"/>
      <c r="B1733"/>
      <c r="C1733"/>
      <c r="D1733"/>
      <c r="E1733"/>
      <c r="F1733" s="255"/>
      <c r="G1733" s="255"/>
      <c r="H1733" s="255"/>
      <c r="I1733" s="255"/>
      <c r="J1733" s="255"/>
      <c r="K1733" s="255"/>
    </row>
    <row r="1734" spans="1:11" ht="13.5" customHeight="1">
      <c r="A1734"/>
      <c r="B1734"/>
      <c r="C1734"/>
      <c r="D1734"/>
      <c r="E1734"/>
      <c r="F1734" s="255"/>
      <c r="G1734" s="255"/>
      <c r="H1734" s="255"/>
      <c r="I1734" s="255"/>
      <c r="J1734" s="255"/>
      <c r="K1734" s="255"/>
    </row>
    <row r="1735" spans="1:11" ht="13.5" customHeight="1">
      <c r="A1735"/>
      <c r="B1735"/>
      <c r="C1735"/>
      <c r="D1735"/>
      <c r="E1735"/>
      <c r="F1735" s="255"/>
      <c r="G1735" s="255"/>
      <c r="H1735" s="255"/>
      <c r="I1735" s="255"/>
      <c r="J1735" s="255"/>
      <c r="K1735" s="255"/>
    </row>
    <row r="1736" spans="1:11" ht="13.5" customHeight="1">
      <c r="A1736"/>
      <c r="B1736"/>
      <c r="C1736"/>
      <c r="D1736"/>
      <c r="E1736"/>
      <c r="F1736" s="255"/>
      <c r="G1736" s="255"/>
      <c r="H1736" s="255"/>
      <c r="I1736" s="255"/>
      <c r="J1736" s="255"/>
      <c r="K1736" s="255"/>
    </row>
    <row r="1737" spans="1:11" ht="13.5" customHeight="1">
      <c r="A1737"/>
      <c r="B1737"/>
      <c r="C1737"/>
      <c r="D1737"/>
      <c r="E1737"/>
      <c r="F1737" s="255"/>
      <c r="G1737" s="255"/>
      <c r="H1737" s="255"/>
      <c r="I1737" s="255"/>
      <c r="J1737" s="255"/>
      <c r="K1737" s="255"/>
    </row>
    <row r="1738" spans="1:11" ht="13.5" customHeight="1">
      <c r="A1738"/>
      <c r="B1738"/>
      <c r="C1738"/>
      <c r="D1738"/>
      <c r="E1738"/>
      <c r="F1738" s="255"/>
      <c r="G1738" s="255"/>
      <c r="H1738" s="255"/>
      <c r="I1738" s="255"/>
      <c r="J1738" s="255"/>
      <c r="K1738" s="255"/>
    </row>
    <row r="1739" spans="1:11" ht="13.5" customHeight="1">
      <c r="A1739"/>
      <c r="B1739"/>
      <c r="C1739"/>
      <c r="D1739"/>
      <c r="E1739"/>
      <c r="F1739" s="255"/>
      <c r="G1739" s="255"/>
      <c r="H1739" s="255"/>
      <c r="I1739" s="255"/>
      <c r="J1739" s="255"/>
      <c r="K1739" s="255"/>
    </row>
    <row r="1740" spans="1:11" ht="13.5" customHeight="1">
      <c r="A1740"/>
      <c r="B1740"/>
      <c r="C1740"/>
      <c r="D1740"/>
      <c r="E1740"/>
      <c r="F1740" s="255"/>
      <c r="G1740" s="255"/>
      <c r="H1740" s="255"/>
      <c r="I1740" s="255"/>
      <c r="J1740" s="255"/>
      <c r="K1740" s="255"/>
    </row>
    <row r="1741" spans="1:11" ht="13.5" customHeight="1">
      <c r="A1741"/>
      <c r="B1741"/>
      <c r="C1741"/>
      <c r="D1741"/>
      <c r="E1741"/>
      <c r="F1741" s="255"/>
      <c r="G1741" s="255"/>
      <c r="H1741" s="255"/>
      <c r="I1741" s="255"/>
      <c r="J1741" s="255"/>
      <c r="K1741" s="255"/>
    </row>
    <row r="1742" spans="1:11" ht="13.5" customHeight="1">
      <c r="A1742"/>
      <c r="B1742"/>
      <c r="C1742"/>
      <c r="D1742"/>
      <c r="E1742"/>
      <c r="F1742" s="255"/>
      <c r="G1742" s="255"/>
      <c r="H1742" s="255"/>
      <c r="I1742" s="255"/>
      <c r="J1742" s="255"/>
      <c r="K1742" s="255"/>
    </row>
    <row r="1743" spans="1:11" ht="13.5" customHeight="1">
      <c r="A1743"/>
      <c r="B1743"/>
      <c r="C1743"/>
      <c r="D1743"/>
      <c r="E1743"/>
      <c r="F1743" s="255"/>
      <c r="G1743" s="255"/>
      <c r="H1743" s="255"/>
      <c r="I1743" s="255"/>
      <c r="J1743" s="255"/>
      <c r="K1743" s="255"/>
    </row>
    <row r="1744" spans="1:11" ht="13.5" customHeight="1">
      <c r="A1744"/>
      <c r="B1744"/>
      <c r="C1744"/>
      <c r="D1744"/>
      <c r="E1744"/>
      <c r="F1744" s="255"/>
      <c r="G1744" s="255"/>
      <c r="H1744" s="255"/>
      <c r="I1744" s="255"/>
      <c r="J1744" s="255"/>
      <c r="K1744" s="255"/>
    </row>
    <row r="1745" spans="1:11" ht="13.5" customHeight="1">
      <c r="A1745"/>
      <c r="B1745"/>
      <c r="C1745"/>
      <c r="D1745"/>
      <c r="E1745"/>
      <c r="F1745" s="255"/>
      <c r="G1745" s="255"/>
      <c r="H1745" s="255"/>
      <c r="I1745" s="255"/>
      <c r="J1745" s="255"/>
      <c r="K1745" s="255"/>
    </row>
    <row r="1746" spans="1:11" ht="13.5" customHeight="1">
      <c r="A1746"/>
      <c r="B1746"/>
      <c r="C1746"/>
      <c r="D1746"/>
      <c r="E1746"/>
      <c r="F1746" s="255"/>
      <c r="G1746" s="255"/>
      <c r="H1746" s="255"/>
      <c r="I1746" s="255"/>
      <c r="J1746" s="255"/>
      <c r="K1746" s="255"/>
    </row>
    <row r="1747" spans="1:11" ht="13.5" customHeight="1">
      <c r="A1747"/>
      <c r="B1747"/>
      <c r="C1747"/>
      <c r="D1747"/>
      <c r="E1747"/>
      <c r="F1747" s="255"/>
      <c r="G1747" s="255"/>
      <c r="H1747" s="255"/>
      <c r="I1747" s="255"/>
      <c r="J1747" s="255"/>
      <c r="K1747" s="255"/>
    </row>
    <row r="1748" spans="1:11" ht="13.5" customHeight="1">
      <c r="A1748"/>
      <c r="B1748"/>
      <c r="C1748"/>
      <c r="D1748"/>
      <c r="E1748"/>
      <c r="F1748" s="255"/>
      <c r="G1748" s="255"/>
      <c r="H1748" s="255"/>
      <c r="I1748" s="255"/>
      <c r="J1748" s="255"/>
      <c r="K1748" s="255"/>
    </row>
    <row r="1749" spans="1:11" ht="13.5" customHeight="1">
      <c r="A1749"/>
      <c r="B1749"/>
      <c r="C1749"/>
      <c r="D1749"/>
      <c r="E1749"/>
      <c r="F1749" s="255"/>
      <c r="G1749" s="255"/>
      <c r="H1749" s="255"/>
      <c r="I1749" s="255"/>
      <c r="J1749" s="255"/>
      <c r="K1749" s="255"/>
    </row>
    <row r="1750" spans="1:11" ht="13.5" customHeight="1">
      <c r="A1750"/>
      <c r="B1750"/>
      <c r="C1750"/>
      <c r="D1750"/>
      <c r="E1750"/>
      <c r="F1750" s="255"/>
      <c r="G1750" s="255"/>
      <c r="H1750" s="255"/>
      <c r="I1750" s="255"/>
      <c r="J1750" s="255"/>
      <c r="K1750" s="255"/>
    </row>
    <row r="1751" spans="1:11" ht="13.5" customHeight="1">
      <c r="A1751"/>
      <c r="B1751"/>
      <c r="C1751"/>
      <c r="D1751"/>
      <c r="E1751"/>
      <c r="F1751" s="255"/>
      <c r="G1751" s="255"/>
      <c r="H1751" s="255"/>
      <c r="I1751" s="255"/>
      <c r="J1751" s="255"/>
      <c r="K1751" s="255"/>
    </row>
    <row r="1752" spans="1:11" ht="13.5" customHeight="1">
      <c r="A1752"/>
      <c r="B1752"/>
      <c r="C1752"/>
      <c r="D1752"/>
      <c r="E1752"/>
      <c r="F1752" s="255"/>
      <c r="G1752" s="255"/>
      <c r="H1752" s="255"/>
      <c r="I1752" s="255"/>
      <c r="J1752" s="255"/>
      <c r="K1752" s="255"/>
    </row>
    <row r="1753" spans="1:11" ht="13.5" customHeight="1">
      <c r="A1753"/>
      <c r="B1753"/>
      <c r="C1753"/>
      <c r="D1753"/>
      <c r="E1753"/>
      <c r="F1753" s="255"/>
      <c r="G1753" s="255"/>
      <c r="H1753" s="255"/>
      <c r="I1753" s="255"/>
      <c r="J1753" s="255"/>
      <c r="K1753" s="255"/>
    </row>
    <row r="1754" spans="1:11" ht="13.5" customHeight="1">
      <c r="A1754"/>
      <c r="B1754"/>
      <c r="C1754"/>
      <c r="D1754"/>
      <c r="E1754"/>
      <c r="F1754" s="255"/>
      <c r="G1754" s="255"/>
      <c r="H1754" s="255"/>
      <c r="I1754" s="255"/>
      <c r="J1754" s="255"/>
      <c r="K1754" s="255"/>
    </row>
    <row r="1755" spans="1:11" ht="13.5" customHeight="1">
      <c r="A1755"/>
      <c r="B1755"/>
      <c r="C1755"/>
      <c r="D1755"/>
      <c r="E1755"/>
      <c r="F1755" s="255"/>
      <c r="G1755" s="255"/>
      <c r="H1755" s="255"/>
      <c r="I1755" s="255"/>
      <c r="J1755" s="255"/>
      <c r="K1755" s="255"/>
    </row>
    <row r="1756" spans="1:11" ht="13.5" customHeight="1">
      <c r="A1756"/>
      <c r="B1756"/>
      <c r="C1756"/>
      <c r="D1756"/>
      <c r="E1756"/>
      <c r="F1756" s="255"/>
      <c r="G1756" s="255"/>
      <c r="H1756" s="255"/>
      <c r="I1756" s="255"/>
      <c r="J1756" s="255"/>
      <c r="K1756" s="255"/>
    </row>
    <row r="1757" spans="1:11" ht="13.5" customHeight="1">
      <c r="A1757"/>
      <c r="B1757"/>
      <c r="C1757"/>
      <c r="D1757"/>
      <c r="E1757"/>
      <c r="F1757" s="255"/>
      <c r="G1757" s="255"/>
      <c r="H1757" s="255"/>
      <c r="I1757" s="255"/>
      <c r="J1757" s="255"/>
      <c r="K1757" s="255"/>
    </row>
    <row r="1758" spans="1:11" ht="13.5" customHeight="1">
      <c r="A1758"/>
      <c r="B1758"/>
      <c r="C1758"/>
      <c r="D1758"/>
      <c r="E1758"/>
      <c r="F1758" s="255"/>
      <c r="G1758" s="255"/>
      <c r="H1758" s="255"/>
      <c r="I1758" s="255"/>
      <c r="J1758" s="255"/>
      <c r="K1758" s="255"/>
    </row>
    <row r="1759" spans="1:11" ht="13.5" customHeight="1">
      <c r="A1759"/>
      <c r="B1759"/>
      <c r="C1759"/>
      <c r="D1759"/>
      <c r="E1759"/>
      <c r="F1759" s="255"/>
      <c r="G1759" s="255"/>
      <c r="H1759" s="255"/>
      <c r="I1759" s="255"/>
      <c r="J1759" s="255"/>
      <c r="K1759" s="255"/>
    </row>
    <row r="1760" spans="1:11" ht="13.5" customHeight="1">
      <c r="A1760"/>
      <c r="B1760"/>
      <c r="C1760"/>
      <c r="D1760"/>
      <c r="E1760"/>
      <c r="F1760" s="255"/>
      <c r="G1760" s="255"/>
      <c r="H1760" s="255"/>
      <c r="I1760" s="255"/>
      <c r="J1760" s="255"/>
      <c r="K1760" s="255"/>
    </row>
    <row r="1761" spans="1:11" ht="13.5" customHeight="1">
      <c r="A1761"/>
      <c r="B1761"/>
      <c r="C1761"/>
      <c r="D1761"/>
      <c r="E1761"/>
      <c r="F1761" s="255"/>
      <c r="G1761" s="255"/>
      <c r="H1761" s="255"/>
      <c r="I1761" s="255"/>
      <c r="J1761" s="255"/>
      <c r="K1761" s="255"/>
    </row>
    <row r="1762" spans="1:11" ht="13.5" customHeight="1">
      <c r="A1762"/>
      <c r="B1762"/>
      <c r="C1762"/>
      <c r="D1762"/>
      <c r="E1762"/>
      <c r="F1762" s="255"/>
      <c r="G1762" s="255"/>
      <c r="H1762" s="255"/>
      <c r="I1762" s="255"/>
      <c r="J1762" s="255"/>
      <c r="K1762" s="255"/>
    </row>
    <row r="1763" spans="1:11" ht="13.5" customHeight="1">
      <c r="A1763"/>
      <c r="B1763"/>
      <c r="C1763"/>
      <c r="D1763"/>
      <c r="E1763"/>
      <c r="F1763" s="255"/>
      <c r="G1763" s="255"/>
      <c r="H1763" s="255"/>
      <c r="I1763" s="255"/>
      <c r="J1763" s="255"/>
      <c r="K1763" s="255"/>
    </row>
    <row r="1764" spans="1:11" ht="13.5" customHeight="1">
      <c r="A1764"/>
      <c r="B1764"/>
      <c r="C1764"/>
      <c r="D1764"/>
      <c r="E1764"/>
      <c r="F1764" s="255"/>
      <c r="G1764" s="255"/>
      <c r="H1764" s="255"/>
      <c r="I1764" s="255"/>
      <c r="J1764" s="255"/>
      <c r="K1764" s="255"/>
    </row>
    <row r="1765" spans="1:11" ht="13.5" customHeight="1">
      <c r="A1765"/>
      <c r="B1765"/>
      <c r="C1765"/>
      <c r="D1765"/>
      <c r="E1765"/>
      <c r="F1765" s="255"/>
      <c r="G1765" s="255"/>
      <c r="H1765" s="255"/>
      <c r="I1765" s="255"/>
      <c r="J1765" s="255"/>
      <c r="K1765" s="255"/>
    </row>
    <row r="1766" spans="1:11" ht="13.5" customHeight="1">
      <c r="A1766"/>
      <c r="B1766"/>
      <c r="C1766"/>
      <c r="D1766"/>
      <c r="E1766"/>
      <c r="F1766" s="255"/>
      <c r="G1766" s="255"/>
      <c r="H1766" s="255"/>
      <c r="I1766" s="255"/>
      <c r="J1766" s="255"/>
      <c r="K1766" s="255"/>
    </row>
    <row r="1767" spans="1:11" ht="13.5" customHeight="1">
      <c r="A1767"/>
      <c r="B1767"/>
      <c r="C1767"/>
      <c r="D1767"/>
      <c r="E1767"/>
      <c r="F1767" s="255"/>
      <c r="G1767" s="255"/>
      <c r="H1767" s="255"/>
      <c r="I1767" s="255"/>
      <c r="J1767" s="255"/>
      <c r="K1767" s="255"/>
    </row>
    <row r="1768" spans="1:11" ht="13.5" customHeight="1">
      <c r="A1768"/>
      <c r="B1768"/>
      <c r="C1768"/>
      <c r="D1768"/>
      <c r="E1768"/>
      <c r="F1768" s="255"/>
      <c r="G1768" s="255"/>
      <c r="H1768" s="255"/>
      <c r="I1768" s="255"/>
      <c r="J1768" s="255"/>
      <c r="K1768" s="255"/>
    </row>
    <row r="1769" spans="1:11" ht="13.5" customHeight="1">
      <c r="A1769"/>
      <c r="B1769"/>
      <c r="C1769"/>
      <c r="D1769"/>
      <c r="E1769"/>
      <c r="F1769" s="255"/>
      <c r="G1769" s="255"/>
      <c r="H1769" s="255"/>
      <c r="I1769" s="255"/>
      <c r="J1769" s="255"/>
      <c r="K1769" s="255"/>
    </row>
    <row r="1770" spans="1:11" ht="13.5" customHeight="1">
      <c r="A1770"/>
      <c r="B1770"/>
      <c r="C1770"/>
      <c r="D1770"/>
      <c r="E1770"/>
      <c r="F1770" s="255"/>
      <c r="G1770" s="255"/>
      <c r="H1770" s="255"/>
      <c r="I1770" s="255"/>
      <c r="J1770" s="255"/>
      <c r="K1770" s="255"/>
    </row>
    <row r="1771" spans="1:11" ht="13.5" customHeight="1">
      <c r="A1771"/>
      <c r="B1771"/>
      <c r="C1771"/>
      <c r="D1771"/>
      <c r="E1771"/>
      <c r="F1771" s="255"/>
      <c r="G1771" s="255"/>
      <c r="H1771" s="255"/>
      <c r="I1771" s="255"/>
      <c r="J1771" s="255"/>
      <c r="K1771" s="255"/>
    </row>
    <row r="1772" spans="1:11" ht="13.5" customHeight="1">
      <c r="A1772"/>
      <c r="B1772"/>
      <c r="C1772"/>
      <c r="D1772"/>
      <c r="E1772"/>
      <c r="F1772" s="255"/>
      <c r="G1772" s="255"/>
      <c r="H1772" s="255"/>
      <c r="I1772" s="255"/>
      <c r="J1772" s="255"/>
      <c r="K1772" s="255"/>
    </row>
    <row r="1773" spans="1:11" ht="13.5" customHeight="1">
      <c r="A1773"/>
      <c r="B1773"/>
      <c r="C1773"/>
      <c r="D1773"/>
      <c r="E1773"/>
      <c r="F1773" s="255"/>
      <c r="G1773" s="255"/>
      <c r="H1773" s="255"/>
      <c r="I1773" s="255"/>
      <c r="J1773" s="255"/>
      <c r="K1773" s="255"/>
    </row>
    <row r="1774" spans="1:11" ht="13.5" customHeight="1">
      <c r="A1774"/>
      <c r="B1774"/>
      <c r="C1774"/>
      <c r="D1774"/>
      <c r="E1774"/>
      <c r="F1774" s="255"/>
      <c r="G1774" s="255"/>
      <c r="H1774" s="255"/>
      <c r="I1774" s="255"/>
      <c r="J1774" s="255"/>
      <c r="K1774" s="255"/>
    </row>
    <row r="1775" spans="1:11" ht="13.5" customHeight="1">
      <c r="A1775"/>
      <c r="B1775"/>
      <c r="C1775"/>
      <c r="D1775"/>
      <c r="E1775"/>
      <c r="F1775" s="255"/>
      <c r="G1775" s="255"/>
      <c r="H1775" s="255"/>
      <c r="I1775" s="255"/>
      <c r="J1775" s="255"/>
      <c r="K1775" s="255"/>
    </row>
    <row r="1776" spans="1:11" ht="13.5" customHeight="1">
      <c r="A1776"/>
      <c r="B1776"/>
      <c r="C1776"/>
      <c r="D1776"/>
      <c r="E1776"/>
      <c r="F1776" s="255"/>
      <c r="G1776" s="255"/>
      <c r="H1776" s="255"/>
      <c r="I1776" s="255"/>
      <c r="J1776" s="255"/>
      <c r="K1776" s="255"/>
    </row>
    <row r="1777" spans="1:11" ht="13.5" customHeight="1">
      <c r="A1777"/>
      <c r="B1777"/>
      <c r="C1777"/>
      <c r="D1777"/>
      <c r="E1777"/>
      <c r="F1777" s="255"/>
      <c r="G1777" s="255"/>
      <c r="H1777" s="255"/>
      <c r="I1777" s="255"/>
      <c r="J1777" s="255"/>
      <c r="K1777" s="255"/>
    </row>
    <row r="1778" spans="1:11" ht="13.5" customHeight="1">
      <c r="A1778"/>
      <c r="B1778"/>
      <c r="C1778"/>
      <c r="D1778"/>
      <c r="E1778"/>
      <c r="F1778" s="255"/>
      <c r="G1778" s="255"/>
      <c r="H1778" s="255"/>
      <c r="I1778" s="255"/>
      <c r="J1778" s="255"/>
      <c r="K1778" s="255"/>
    </row>
    <row r="1779" spans="1:11" ht="13.5" customHeight="1">
      <c r="A1779"/>
      <c r="B1779"/>
      <c r="C1779"/>
      <c r="D1779"/>
      <c r="E1779"/>
      <c r="F1779" s="255"/>
      <c r="G1779" s="255"/>
      <c r="H1779" s="255"/>
      <c r="I1779" s="255"/>
      <c r="J1779" s="255"/>
      <c r="K1779" s="255"/>
    </row>
    <row r="1780" spans="1:11" ht="13.5" customHeight="1">
      <c r="A1780"/>
      <c r="B1780"/>
      <c r="C1780"/>
      <c r="D1780"/>
      <c r="E1780"/>
      <c r="F1780" s="255"/>
      <c r="G1780" s="255"/>
      <c r="H1780" s="255"/>
      <c r="I1780" s="255"/>
      <c r="J1780" s="255"/>
      <c r="K1780" s="255"/>
    </row>
    <row r="1781" spans="1:11" ht="13.5" customHeight="1">
      <c r="A1781"/>
      <c r="B1781"/>
      <c r="C1781"/>
      <c r="D1781"/>
      <c r="E1781"/>
      <c r="F1781" s="255"/>
      <c r="G1781" s="255"/>
      <c r="H1781" s="255"/>
      <c r="I1781" s="255"/>
      <c r="J1781" s="255"/>
      <c r="K1781" s="255"/>
    </row>
    <row r="1782" spans="1:11" ht="13.5" customHeight="1">
      <c r="A1782"/>
      <c r="B1782"/>
      <c r="C1782"/>
      <c r="D1782"/>
      <c r="E1782"/>
      <c r="F1782" s="255"/>
      <c r="G1782" s="255"/>
      <c r="H1782" s="255"/>
      <c r="I1782" s="255"/>
      <c r="J1782" s="255"/>
      <c r="K1782" s="255"/>
    </row>
    <row r="1783" spans="1:11" ht="13.5" customHeight="1">
      <c r="A1783"/>
      <c r="B1783"/>
      <c r="C1783"/>
      <c r="D1783"/>
      <c r="E1783"/>
      <c r="F1783" s="255"/>
      <c r="G1783" s="255"/>
      <c r="H1783" s="255"/>
      <c r="I1783" s="255"/>
      <c r="J1783" s="255"/>
      <c r="K1783" s="255"/>
    </row>
    <row r="1784" spans="1:11" ht="13.5" customHeight="1">
      <c r="A1784"/>
      <c r="B1784"/>
      <c r="C1784"/>
      <c r="D1784"/>
      <c r="E1784"/>
      <c r="F1784" s="255"/>
      <c r="G1784" s="255"/>
      <c r="H1784" s="255"/>
      <c r="I1784" s="255"/>
      <c r="J1784" s="255"/>
      <c r="K1784" s="255"/>
    </row>
    <row r="1785" spans="1:11" ht="13.5" customHeight="1">
      <c r="A1785"/>
      <c r="B1785"/>
      <c r="C1785"/>
      <c r="D1785"/>
      <c r="E1785"/>
      <c r="F1785" s="255"/>
      <c r="G1785" s="255"/>
      <c r="H1785" s="255"/>
      <c r="I1785" s="255"/>
      <c r="J1785" s="255"/>
      <c r="K1785" s="255"/>
    </row>
    <row r="1786" spans="1:11" ht="13.5" customHeight="1">
      <c r="A1786"/>
      <c r="B1786"/>
      <c r="C1786"/>
      <c r="D1786"/>
      <c r="E1786"/>
      <c r="F1786" s="255"/>
      <c r="G1786" s="255"/>
      <c r="H1786" s="255"/>
      <c r="I1786" s="255"/>
      <c r="J1786" s="255"/>
      <c r="K1786" s="255"/>
    </row>
    <row r="1787" spans="1:11" ht="13.5" customHeight="1">
      <c r="A1787"/>
      <c r="B1787"/>
      <c r="C1787"/>
      <c r="D1787"/>
      <c r="E1787"/>
      <c r="F1787" s="255"/>
      <c r="G1787" s="255"/>
      <c r="H1787" s="255"/>
      <c r="I1787" s="255"/>
      <c r="J1787" s="255"/>
      <c r="K1787" s="255"/>
    </row>
    <row r="1788" spans="1:11" ht="13.5" customHeight="1">
      <c r="A1788"/>
      <c r="B1788"/>
      <c r="C1788"/>
      <c r="D1788"/>
      <c r="E1788"/>
      <c r="F1788" s="255"/>
      <c r="G1788" s="255"/>
      <c r="H1788" s="255"/>
      <c r="I1788" s="255"/>
      <c r="J1788" s="255"/>
      <c r="K1788" s="255"/>
    </row>
    <row r="1789" spans="1:11" ht="13.5" customHeight="1">
      <c r="A1789"/>
      <c r="B1789"/>
      <c r="C1789"/>
      <c r="D1789"/>
      <c r="E1789"/>
      <c r="F1789" s="255"/>
      <c r="G1789" s="255"/>
      <c r="H1789" s="255"/>
      <c r="I1789" s="255"/>
      <c r="J1789" s="255"/>
      <c r="K1789" s="255"/>
    </row>
    <row r="1790" spans="1:11" ht="13.5" customHeight="1">
      <c r="A1790"/>
      <c r="B1790"/>
      <c r="C1790"/>
      <c r="D1790"/>
      <c r="E1790"/>
      <c r="F1790" s="255"/>
      <c r="G1790" s="255"/>
      <c r="H1790" s="255"/>
      <c r="I1790" s="255"/>
      <c r="J1790" s="255"/>
      <c r="K1790" s="255"/>
    </row>
    <row r="1791" spans="1:11" ht="13.5" customHeight="1">
      <c r="A1791"/>
      <c r="B1791"/>
      <c r="C1791"/>
      <c r="D1791"/>
      <c r="E1791"/>
      <c r="F1791" s="255"/>
      <c r="G1791" s="255"/>
      <c r="H1791" s="255"/>
      <c r="I1791" s="255"/>
      <c r="J1791" s="255"/>
      <c r="K1791" s="255"/>
    </row>
    <row r="1792" spans="1:11" ht="13.5" customHeight="1">
      <c r="A1792"/>
      <c r="B1792"/>
      <c r="C1792"/>
      <c r="D1792"/>
      <c r="E1792"/>
      <c r="F1792" s="255"/>
      <c r="G1792" s="255"/>
      <c r="H1792" s="255"/>
      <c r="I1792" s="255"/>
      <c r="J1792" s="255"/>
      <c r="K1792" s="255"/>
    </row>
    <row r="1793" spans="1:11" ht="13.5" customHeight="1">
      <c r="A1793"/>
      <c r="B1793"/>
      <c r="C1793"/>
      <c r="D1793"/>
      <c r="E1793"/>
      <c r="F1793" s="255"/>
      <c r="G1793" s="255"/>
      <c r="H1793" s="255"/>
      <c r="I1793" s="255"/>
      <c r="J1793" s="255"/>
      <c r="K1793" s="255"/>
    </row>
    <row r="1794" spans="1:11" ht="13.5" customHeight="1">
      <c r="A1794"/>
      <c r="B1794"/>
      <c r="C1794"/>
      <c r="D1794"/>
      <c r="E1794"/>
      <c r="F1794" s="255"/>
      <c r="G1794" s="255"/>
      <c r="H1794" s="255"/>
      <c r="I1794" s="255"/>
      <c r="J1794" s="255"/>
      <c r="K1794" s="255"/>
    </row>
    <row r="1795" spans="1:11" ht="13.5" customHeight="1">
      <c r="A1795"/>
      <c r="B1795"/>
      <c r="C1795"/>
      <c r="D1795"/>
      <c r="E1795"/>
      <c r="F1795" s="255"/>
      <c r="G1795" s="255"/>
      <c r="H1795" s="255"/>
      <c r="I1795" s="255"/>
      <c r="J1795" s="255"/>
      <c r="K1795" s="255"/>
    </row>
    <row r="1796" spans="1:11" ht="13.5" customHeight="1">
      <c r="A1796"/>
      <c r="B1796"/>
      <c r="C1796"/>
      <c r="D1796"/>
      <c r="E1796"/>
      <c r="F1796" s="255"/>
      <c r="G1796" s="255"/>
      <c r="H1796" s="255"/>
      <c r="I1796" s="255"/>
      <c r="J1796" s="255"/>
      <c r="K1796" s="255"/>
    </row>
    <row r="1797" spans="1:11" ht="13.5" customHeight="1">
      <c r="A1797"/>
      <c r="B1797"/>
      <c r="C1797"/>
      <c r="D1797"/>
      <c r="E1797"/>
      <c r="F1797" s="255"/>
      <c r="G1797" s="255"/>
      <c r="H1797" s="255"/>
      <c r="I1797" s="255"/>
      <c r="J1797" s="255"/>
      <c r="K1797" s="255"/>
    </row>
    <row r="1798" spans="1:11" ht="13.5" customHeight="1">
      <c r="A1798"/>
      <c r="B1798"/>
      <c r="C1798"/>
      <c r="D1798"/>
      <c r="E1798"/>
      <c r="F1798" s="255"/>
      <c r="G1798" s="255"/>
      <c r="H1798" s="255"/>
      <c r="I1798" s="255"/>
      <c r="J1798" s="255"/>
      <c r="K1798" s="255"/>
    </row>
    <row r="1799" spans="1:11" ht="13.5" customHeight="1">
      <c r="A1799"/>
      <c r="B1799"/>
      <c r="C1799"/>
      <c r="D1799"/>
      <c r="E1799"/>
      <c r="F1799" s="255"/>
      <c r="G1799" s="255"/>
      <c r="H1799" s="255"/>
      <c r="I1799" s="255"/>
      <c r="J1799" s="255"/>
      <c r="K1799" s="255"/>
    </row>
    <row r="1800" spans="1:11" ht="13.5" customHeight="1">
      <c r="A1800"/>
      <c r="B1800"/>
      <c r="C1800"/>
      <c r="D1800"/>
      <c r="E1800"/>
      <c r="F1800" s="255"/>
      <c r="G1800" s="255"/>
      <c r="H1800" s="255"/>
      <c r="I1800" s="255"/>
      <c r="J1800" s="255"/>
      <c r="K1800" s="255"/>
    </row>
    <row r="1801" spans="1:11" ht="13.5" customHeight="1">
      <c r="A1801"/>
      <c r="B1801"/>
      <c r="C1801"/>
      <c r="D1801"/>
      <c r="E1801"/>
      <c r="F1801" s="255"/>
      <c r="G1801" s="255"/>
      <c r="H1801" s="255"/>
      <c r="I1801" s="255"/>
      <c r="J1801" s="255"/>
      <c r="K1801" s="255"/>
    </row>
    <row r="1802" spans="1:11" ht="13.5" customHeight="1">
      <c r="A1802"/>
      <c r="B1802"/>
      <c r="C1802"/>
      <c r="D1802"/>
      <c r="E1802"/>
      <c r="F1802" s="255"/>
      <c r="G1802" s="255"/>
      <c r="H1802" s="255"/>
      <c r="I1802" s="255"/>
      <c r="J1802" s="255"/>
      <c r="K1802" s="255"/>
    </row>
    <row r="1803" spans="1:11" ht="13.5" customHeight="1">
      <c r="A1803"/>
      <c r="B1803"/>
      <c r="C1803"/>
      <c r="D1803"/>
      <c r="E1803"/>
      <c r="F1803" s="255"/>
      <c r="G1803" s="255"/>
      <c r="H1803" s="255"/>
      <c r="I1803" s="255"/>
      <c r="J1803" s="255"/>
      <c r="K1803" s="255"/>
    </row>
    <row r="1804" spans="1:11" ht="13.5" customHeight="1">
      <c r="A1804"/>
      <c r="B1804"/>
      <c r="C1804"/>
      <c r="D1804"/>
      <c r="E1804"/>
      <c r="F1804" s="255"/>
      <c r="G1804" s="255"/>
      <c r="H1804" s="255"/>
      <c r="I1804" s="255"/>
      <c r="J1804" s="255"/>
      <c r="K1804" s="255"/>
    </row>
    <row r="1805" spans="1:11" ht="13.5" customHeight="1">
      <c r="A1805"/>
      <c r="B1805"/>
      <c r="C1805"/>
      <c r="D1805"/>
      <c r="E1805"/>
      <c r="F1805" s="255"/>
      <c r="G1805" s="255"/>
      <c r="H1805" s="255"/>
      <c r="I1805" s="255"/>
      <c r="J1805" s="255"/>
      <c r="K1805" s="255"/>
    </row>
    <row r="1806" spans="1:11" ht="13.5" customHeight="1">
      <c r="A1806"/>
      <c r="B1806"/>
      <c r="C1806"/>
      <c r="D1806"/>
      <c r="E1806"/>
      <c r="F1806" s="255"/>
      <c r="G1806" s="255"/>
      <c r="H1806" s="255"/>
      <c r="I1806" s="255"/>
      <c r="J1806" s="255"/>
      <c r="K1806" s="255"/>
    </row>
    <row r="1807" spans="1:11" ht="13.5" customHeight="1">
      <c r="A1807"/>
      <c r="B1807"/>
      <c r="C1807"/>
      <c r="D1807"/>
      <c r="E1807"/>
      <c r="F1807" s="255"/>
      <c r="G1807" s="255"/>
      <c r="H1807" s="255"/>
      <c r="I1807" s="255"/>
      <c r="J1807" s="255"/>
      <c r="K1807" s="255"/>
    </row>
    <row r="1808" spans="1:11" ht="13.5" customHeight="1">
      <c r="A1808"/>
      <c r="B1808"/>
      <c r="C1808"/>
      <c r="D1808"/>
      <c r="E1808"/>
      <c r="F1808" s="255"/>
      <c r="G1808" s="255"/>
      <c r="H1808" s="255"/>
      <c r="I1808" s="255"/>
      <c r="J1808" s="255"/>
      <c r="K1808" s="255"/>
    </row>
    <row r="1809" spans="1:11" ht="13.5" customHeight="1">
      <c r="A1809"/>
      <c r="B1809"/>
      <c r="C1809"/>
      <c r="D1809"/>
      <c r="E1809"/>
      <c r="F1809" s="255"/>
      <c r="G1809" s="255"/>
      <c r="H1809" s="255"/>
      <c r="I1809" s="255"/>
      <c r="J1809" s="255"/>
      <c r="K1809" s="255"/>
    </row>
    <row r="1810" spans="1:11" ht="13.5" customHeight="1">
      <c r="A1810"/>
      <c r="B1810"/>
      <c r="C1810"/>
      <c r="D1810"/>
      <c r="E1810"/>
      <c r="F1810" s="255"/>
      <c r="G1810" s="255"/>
      <c r="H1810" s="255"/>
      <c r="I1810" s="255"/>
      <c r="J1810" s="255"/>
      <c r="K1810" s="255"/>
    </row>
    <row r="1811" spans="1:11" ht="13.5" customHeight="1">
      <c r="A1811"/>
      <c r="B1811"/>
      <c r="C1811"/>
      <c r="D1811"/>
      <c r="E1811"/>
      <c r="F1811" s="255"/>
      <c r="G1811" s="255"/>
      <c r="H1811" s="255"/>
      <c r="I1811" s="255"/>
      <c r="J1811" s="255"/>
      <c r="K1811" s="255"/>
    </row>
    <row r="1812" spans="1:11" ht="13.5" customHeight="1">
      <c r="A1812"/>
      <c r="B1812"/>
      <c r="C1812"/>
      <c r="D1812"/>
      <c r="E1812"/>
      <c r="F1812" s="255"/>
      <c r="G1812" s="255"/>
      <c r="H1812" s="255"/>
      <c r="I1812" s="255"/>
      <c r="J1812" s="255"/>
      <c r="K1812" s="255"/>
    </row>
    <row r="1813" spans="1:11" ht="13.5" customHeight="1">
      <c r="A1813"/>
      <c r="B1813"/>
      <c r="C1813"/>
      <c r="D1813"/>
      <c r="E1813"/>
      <c r="F1813" s="255"/>
      <c r="G1813" s="255"/>
      <c r="H1813" s="255"/>
      <c r="I1813" s="255"/>
      <c r="J1813" s="255"/>
      <c r="K1813" s="255"/>
    </row>
    <row r="1814" spans="1:11" ht="13.5" customHeight="1">
      <c r="A1814"/>
      <c r="B1814"/>
      <c r="C1814"/>
      <c r="D1814"/>
      <c r="E1814"/>
      <c r="F1814" s="255"/>
      <c r="G1814" s="255"/>
      <c r="H1814" s="255"/>
      <c r="I1814" s="255"/>
      <c r="J1814" s="255"/>
      <c r="K1814" s="255"/>
    </row>
    <row r="1815" spans="1:11" ht="13.5" customHeight="1">
      <c r="A1815"/>
      <c r="B1815"/>
      <c r="C1815"/>
      <c r="D1815"/>
      <c r="E1815"/>
      <c r="F1815" s="255"/>
      <c r="G1815" s="255"/>
      <c r="H1815" s="255"/>
      <c r="I1815" s="255"/>
      <c r="J1815" s="255"/>
      <c r="K1815" s="255"/>
    </row>
    <row r="1816" spans="1:11" ht="13.5" customHeight="1">
      <c r="A1816"/>
      <c r="B1816"/>
      <c r="C1816"/>
      <c r="D1816"/>
      <c r="E1816"/>
      <c r="F1816" s="255"/>
      <c r="G1816" s="255"/>
      <c r="H1816" s="255"/>
      <c r="I1816" s="255"/>
      <c r="J1816" s="255"/>
      <c r="K1816" s="255"/>
    </row>
    <row r="1817" spans="1:11" ht="13.5" customHeight="1">
      <c r="A1817"/>
      <c r="B1817"/>
      <c r="C1817"/>
      <c r="D1817"/>
      <c r="E1817"/>
      <c r="F1817" s="255"/>
      <c r="G1817" s="255"/>
      <c r="H1817" s="255"/>
      <c r="I1817" s="255"/>
      <c r="J1817" s="255"/>
      <c r="K1817" s="255"/>
    </row>
    <row r="1818" spans="1:11" ht="13.5" customHeight="1">
      <c r="A1818"/>
      <c r="B1818"/>
      <c r="C1818"/>
      <c r="D1818"/>
      <c r="E1818"/>
      <c r="F1818" s="255"/>
      <c r="G1818" s="255"/>
      <c r="H1818" s="255"/>
      <c r="I1818" s="255"/>
      <c r="J1818" s="255"/>
      <c r="K1818" s="255"/>
    </row>
    <row r="1819" spans="1:11" ht="13.5" customHeight="1">
      <c r="A1819"/>
      <c r="B1819"/>
      <c r="C1819"/>
      <c r="D1819"/>
      <c r="E1819"/>
      <c r="F1819" s="255"/>
      <c r="G1819" s="255"/>
      <c r="H1819" s="255"/>
      <c r="I1819" s="255"/>
      <c r="J1819" s="255"/>
      <c r="K1819" s="255"/>
    </row>
    <row r="1820" spans="1:11" ht="13.5" customHeight="1">
      <c r="A1820"/>
      <c r="B1820"/>
      <c r="C1820"/>
      <c r="D1820"/>
      <c r="E1820"/>
      <c r="F1820" s="255"/>
      <c r="G1820" s="255"/>
      <c r="H1820" s="255"/>
      <c r="I1820" s="255"/>
      <c r="J1820" s="255"/>
      <c r="K1820" s="255"/>
    </row>
    <row r="1821" spans="1:11" ht="13.5" customHeight="1">
      <c r="A1821"/>
      <c r="B1821"/>
      <c r="C1821"/>
      <c r="D1821"/>
      <c r="E1821"/>
      <c r="F1821" s="255"/>
      <c r="G1821" s="255"/>
      <c r="H1821" s="255"/>
      <c r="I1821" s="255"/>
      <c r="J1821" s="255"/>
      <c r="K1821" s="255"/>
    </row>
    <row r="1822" spans="1:11" ht="13.5" customHeight="1">
      <c r="A1822"/>
      <c r="B1822"/>
      <c r="C1822"/>
      <c r="D1822"/>
      <c r="E1822"/>
      <c r="F1822" s="255"/>
      <c r="G1822" s="255"/>
      <c r="H1822" s="255"/>
      <c r="I1822" s="255"/>
      <c r="J1822" s="255"/>
      <c r="K1822" s="255"/>
    </row>
    <row r="1823" spans="1:11" ht="13.5" customHeight="1">
      <c r="A1823"/>
      <c r="B1823"/>
      <c r="C1823"/>
      <c r="D1823"/>
      <c r="E1823"/>
      <c r="F1823" s="255"/>
      <c r="G1823" s="255"/>
      <c r="H1823" s="255"/>
      <c r="I1823" s="255"/>
      <c r="J1823" s="255"/>
      <c r="K1823" s="255"/>
    </row>
    <row r="1824" spans="1:11" ht="13.5" customHeight="1">
      <c r="A1824"/>
      <c r="B1824"/>
      <c r="C1824"/>
      <c r="D1824"/>
      <c r="E1824"/>
      <c r="F1824" s="255"/>
      <c r="G1824" s="255"/>
      <c r="H1824" s="255"/>
      <c r="I1824" s="255"/>
      <c r="J1824" s="255"/>
      <c r="K1824" s="255"/>
    </row>
    <row r="1825" spans="1:11" ht="13.5" customHeight="1">
      <c r="A1825"/>
      <c r="B1825"/>
      <c r="C1825"/>
      <c r="D1825"/>
      <c r="E1825"/>
      <c r="F1825" s="255"/>
      <c r="G1825" s="255"/>
      <c r="H1825" s="255"/>
      <c r="I1825" s="255"/>
      <c r="J1825" s="255"/>
      <c r="K1825" s="255"/>
    </row>
    <row r="1826" spans="1:11" ht="13.5" customHeight="1">
      <c r="A1826"/>
      <c r="B1826"/>
      <c r="C1826"/>
      <c r="D1826"/>
      <c r="E1826"/>
      <c r="F1826" s="255"/>
      <c r="G1826" s="255"/>
      <c r="H1826" s="255"/>
      <c r="I1826" s="255"/>
      <c r="J1826" s="255"/>
      <c r="K1826" s="255"/>
    </row>
    <row r="1827" spans="1:11" ht="13.5" customHeight="1">
      <c r="A1827"/>
      <c r="B1827"/>
      <c r="C1827"/>
      <c r="D1827"/>
      <c r="E1827"/>
      <c r="F1827" s="255"/>
      <c r="G1827" s="255"/>
      <c r="H1827" s="255"/>
      <c r="I1827" s="255"/>
      <c r="J1827" s="255"/>
      <c r="K1827" s="255"/>
    </row>
    <row r="1828" spans="1:11" ht="13.5" customHeight="1">
      <c r="A1828"/>
      <c r="B1828"/>
      <c r="C1828"/>
      <c r="D1828"/>
      <c r="E1828"/>
      <c r="F1828" s="255"/>
      <c r="G1828" s="255"/>
      <c r="H1828" s="255"/>
      <c r="I1828" s="255"/>
      <c r="J1828" s="255"/>
      <c r="K1828" s="255"/>
    </row>
    <row r="1829" spans="1:11" ht="13.5" customHeight="1">
      <c r="A1829"/>
      <c r="B1829"/>
      <c r="C1829"/>
      <c r="D1829"/>
      <c r="E1829"/>
      <c r="F1829" s="255"/>
      <c r="G1829" s="255"/>
      <c r="H1829" s="255"/>
      <c r="I1829" s="255"/>
      <c r="J1829" s="255"/>
      <c r="K1829" s="255"/>
    </row>
    <row r="1830" spans="1:11" ht="13.5" customHeight="1">
      <c r="A1830"/>
      <c r="B1830"/>
      <c r="C1830"/>
      <c r="D1830"/>
      <c r="E1830"/>
      <c r="F1830" s="255"/>
      <c r="G1830" s="255"/>
      <c r="H1830" s="255"/>
      <c r="I1830" s="255"/>
      <c r="J1830" s="255"/>
      <c r="K1830" s="255"/>
    </row>
    <row r="1831" spans="1:11" ht="13.5" customHeight="1">
      <c r="A1831"/>
      <c r="B1831"/>
      <c r="C1831"/>
      <c r="D1831"/>
      <c r="E1831"/>
      <c r="F1831" s="255"/>
      <c r="G1831" s="255"/>
      <c r="H1831" s="255"/>
      <c r="I1831" s="255"/>
      <c r="J1831" s="255"/>
      <c r="K1831" s="255"/>
    </row>
    <row r="1832" spans="1:11" ht="13.5" customHeight="1">
      <c r="A1832"/>
      <c r="B1832"/>
      <c r="C1832"/>
      <c r="D1832"/>
      <c r="E1832"/>
      <c r="F1832" s="255"/>
      <c r="G1832" s="255"/>
      <c r="H1832" s="255"/>
      <c r="I1832" s="255"/>
      <c r="J1832" s="255"/>
      <c r="K1832" s="255"/>
    </row>
    <row r="1833" spans="1:11" ht="13.5" customHeight="1">
      <c r="A1833"/>
      <c r="B1833"/>
      <c r="C1833"/>
      <c r="D1833"/>
      <c r="E1833"/>
      <c r="F1833" s="255"/>
      <c r="G1833" s="255"/>
      <c r="H1833" s="255"/>
      <c r="I1833" s="255"/>
      <c r="J1833" s="255"/>
      <c r="K1833" s="255"/>
    </row>
    <row r="1834" spans="1:11" ht="13.5" customHeight="1">
      <c r="A1834"/>
      <c r="B1834"/>
      <c r="C1834"/>
      <c r="D1834"/>
      <c r="E1834"/>
      <c r="F1834" s="255"/>
      <c r="G1834" s="255"/>
      <c r="H1834" s="255"/>
      <c r="I1834" s="255"/>
      <c r="J1834" s="255"/>
      <c r="K1834" s="255"/>
    </row>
    <row r="1835" spans="1:11" ht="13.5" customHeight="1">
      <c r="A1835"/>
      <c r="B1835"/>
      <c r="C1835"/>
      <c r="D1835"/>
      <c r="E1835"/>
      <c r="F1835" s="255"/>
      <c r="G1835" s="255"/>
      <c r="H1835" s="255"/>
      <c r="I1835" s="255"/>
      <c r="J1835" s="255"/>
      <c r="K1835" s="255"/>
    </row>
    <row r="1836" spans="1:11" ht="13.5" customHeight="1">
      <c r="A1836"/>
      <c r="B1836"/>
      <c r="C1836"/>
      <c r="D1836"/>
      <c r="E1836"/>
      <c r="F1836" s="255"/>
      <c r="G1836" s="255"/>
      <c r="H1836" s="255"/>
      <c r="I1836" s="255"/>
      <c r="J1836" s="255"/>
      <c r="K1836" s="255"/>
    </row>
    <row r="1837" spans="1:11" ht="13.5" customHeight="1">
      <c r="A1837"/>
      <c r="B1837"/>
      <c r="C1837"/>
      <c r="D1837"/>
      <c r="E1837"/>
      <c r="F1837" s="255"/>
      <c r="G1837" s="255"/>
      <c r="H1837" s="255"/>
      <c r="I1837" s="255"/>
      <c r="J1837" s="255"/>
      <c r="K1837" s="255"/>
    </row>
    <row r="1838" spans="1:11" ht="13.5" customHeight="1">
      <c r="A1838"/>
      <c r="B1838"/>
      <c r="C1838"/>
      <c r="D1838"/>
      <c r="E1838"/>
      <c r="F1838" s="255"/>
      <c r="G1838" s="255"/>
      <c r="H1838" s="255"/>
      <c r="I1838" s="255"/>
      <c r="J1838" s="255"/>
      <c r="K1838" s="255"/>
    </row>
    <row r="1839" spans="1:11" ht="13.5" customHeight="1">
      <c r="A1839"/>
      <c r="B1839"/>
      <c r="C1839"/>
      <c r="D1839"/>
      <c r="E1839"/>
      <c r="F1839" s="255"/>
      <c r="G1839" s="255"/>
      <c r="H1839" s="255"/>
      <c r="I1839" s="255"/>
      <c r="J1839" s="255"/>
      <c r="K1839" s="255"/>
    </row>
    <row r="1840" spans="1:11" ht="13.5" customHeight="1">
      <c r="A1840"/>
      <c r="B1840"/>
      <c r="C1840"/>
      <c r="D1840"/>
      <c r="E1840"/>
      <c r="F1840" s="255"/>
      <c r="G1840" s="255"/>
      <c r="H1840" s="255"/>
      <c r="I1840" s="255"/>
      <c r="J1840" s="255"/>
      <c r="K1840" s="255"/>
    </row>
    <row r="1841" spans="1:11" ht="13.5" customHeight="1">
      <c r="A1841"/>
      <c r="B1841"/>
      <c r="C1841"/>
      <c r="D1841"/>
      <c r="E1841"/>
      <c r="F1841" s="255"/>
      <c r="G1841" s="255"/>
      <c r="H1841" s="255"/>
      <c r="I1841" s="255"/>
      <c r="J1841" s="255"/>
      <c r="K1841" s="255"/>
    </row>
    <row r="1842" spans="1:11" ht="13.5" customHeight="1">
      <c r="A1842"/>
      <c r="B1842"/>
      <c r="C1842"/>
      <c r="D1842"/>
      <c r="E1842"/>
      <c r="F1842" s="255"/>
      <c r="G1842" s="255"/>
      <c r="H1842" s="255"/>
      <c r="I1842" s="255"/>
      <c r="J1842" s="255"/>
      <c r="K1842" s="255"/>
    </row>
    <row r="1843" spans="1:11" ht="13.5" customHeight="1">
      <c r="A1843"/>
      <c r="B1843"/>
      <c r="C1843"/>
      <c r="D1843"/>
      <c r="E1843"/>
      <c r="F1843" s="255"/>
      <c r="G1843" s="255"/>
      <c r="H1843" s="255"/>
      <c r="I1843" s="255"/>
      <c r="J1843" s="255"/>
      <c r="K1843" s="255"/>
    </row>
    <row r="1844" spans="1:11" ht="13.5" customHeight="1">
      <c r="A1844"/>
      <c r="B1844"/>
      <c r="C1844"/>
      <c r="D1844"/>
      <c r="E1844"/>
      <c r="F1844" s="255"/>
      <c r="G1844" s="255"/>
      <c r="H1844" s="255"/>
      <c r="I1844" s="255"/>
      <c r="J1844" s="255"/>
      <c r="K1844" s="255"/>
    </row>
    <row r="1845" spans="1:11" ht="13.5" customHeight="1">
      <c r="A1845"/>
      <c r="B1845"/>
      <c r="C1845"/>
      <c r="D1845"/>
      <c r="E1845"/>
      <c r="F1845" s="255"/>
      <c r="G1845" s="255"/>
      <c r="H1845" s="255"/>
      <c r="I1845" s="255"/>
      <c r="J1845" s="255"/>
      <c r="K1845" s="255"/>
    </row>
    <row r="1846" spans="1:11" ht="13.5" customHeight="1">
      <c r="A1846"/>
      <c r="B1846"/>
      <c r="C1846"/>
      <c r="D1846"/>
      <c r="E1846"/>
      <c r="F1846" s="255"/>
      <c r="G1846" s="255"/>
      <c r="H1846" s="255"/>
      <c r="I1846" s="255"/>
      <c r="J1846" s="255"/>
      <c r="K1846" s="255"/>
    </row>
    <row r="1847" spans="1:11" ht="13.5" customHeight="1">
      <c r="A1847"/>
      <c r="B1847"/>
      <c r="C1847"/>
      <c r="D1847"/>
      <c r="E1847"/>
      <c r="F1847" s="255"/>
      <c r="G1847" s="255"/>
      <c r="H1847" s="255"/>
      <c r="I1847" s="255"/>
      <c r="J1847" s="255"/>
      <c r="K1847" s="255"/>
    </row>
    <row r="1848" spans="1:11" ht="13.5" customHeight="1">
      <c r="A1848"/>
      <c r="B1848"/>
      <c r="C1848"/>
      <c r="D1848"/>
      <c r="E1848"/>
      <c r="F1848" s="255"/>
      <c r="G1848" s="255"/>
      <c r="H1848" s="255"/>
      <c r="I1848" s="255"/>
      <c r="J1848" s="255"/>
      <c r="K1848" s="255"/>
    </row>
    <row r="1849" spans="1:11" ht="13.5" customHeight="1">
      <c r="A1849"/>
      <c r="B1849"/>
      <c r="C1849"/>
      <c r="D1849"/>
      <c r="E1849"/>
      <c r="F1849" s="255"/>
      <c r="G1849" s="255"/>
      <c r="H1849" s="255"/>
      <c r="I1849" s="255"/>
      <c r="J1849" s="255"/>
      <c r="K1849" s="255"/>
    </row>
    <row r="1850" spans="1:11" ht="13.5" customHeight="1">
      <c r="A1850"/>
      <c r="B1850"/>
      <c r="C1850"/>
      <c r="D1850"/>
      <c r="E1850"/>
      <c r="F1850" s="255"/>
      <c r="G1850" s="255"/>
      <c r="H1850" s="255"/>
      <c r="I1850" s="255"/>
      <c r="J1850" s="255"/>
      <c r="K1850" s="255"/>
    </row>
    <row r="1851" spans="1:11" ht="13.5" customHeight="1">
      <c r="A1851"/>
      <c r="B1851"/>
      <c r="C1851"/>
      <c r="D1851"/>
      <c r="E1851"/>
      <c r="F1851" s="255"/>
      <c r="G1851" s="255"/>
      <c r="H1851" s="255"/>
      <c r="I1851" s="255"/>
      <c r="J1851" s="255"/>
      <c r="K1851" s="255"/>
    </row>
    <row r="1852" spans="1:11" ht="13.5" customHeight="1">
      <c r="A1852"/>
      <c r="B1852"/>
      <c r="C1852"/>
      <c r="D1852"/>
      <c r="E1852"/>
      <c r="F1852" s="255"/>
      <c r="G1852" s="255"/>
      <c r="H1852" s="255"/>
      <c r="I1852" s="255"/>
      <c r="J1852" s="255"/>
      <c r="K1852" s="255"/>
    </row>
    <row r="1853" spans="1:11" ht="13.5" customHeight="1">
      <c r="A1853"/>
      <c r="B1853"/>
      <c r="C1853"/>
      <c r="D1853"/>
      <c r="E1853"/>
      <c r="F1853" s="255"/>
      <c r="G1853" s="255"/>
      <c r="H1853" s="255"/>
      <c r="I1853" s="255"/>
      <c r="J1853" s="255"/>
      <c r="K1853" s="255"/>
    </row>
    <row r="1854" spans="1:11" ht="13.5" customHeight="1">
      <c r="A1854"/>
      <c r="B1854"/>
      <c r="C1854"/>
      <c r="D1854"/>
      <c r="E1854"/>
      <c r="F1854" s="255"/>
      <c r="G1854" s="255"/>
      <c r="H1854" s="255"/>
      <c r="I1854" s="255"/>
      <c r="J1854" s="255"/>
      <c r="K1854" s="255"/>
    </row>
    <row r="1855" spans="1:11" ht="13.5" customHeight="1">
      <c r="A1855"/>
      <c r="B1855"/>
      <c r="C1855"/>
      <c r="D1855"/>
      <c r="E1855"/>
      <c r="F1855" s="255"/>
      <c r="G1855" s="255"/>
      <c r="H1855" s="255"/>
      <c r="I1855" s="255"/>
      <c r="J1855" s="255"/>
      <c r="K1855" s="255"/>
    </row>
    <row r="1856" spans="1:11" ht="13.5" customHeight="1">
      <c r="A1856"/>
      <c r="B1856"/>
      <c r="C1856"/>
      <c r="D1856"/>
      <c r="E1856"/>
      <c r="F1856" s="255"/>
      <c r="G1856" s="255"/>
      <c r="H1856" s="255"/>
      <c r="I1856" s="255"/>
      <c r="J1856" s="255"/>
      <c r="K1856" s="255"/>
    </row>
    <row r="1857" spans="1:11" ht="13.5" customHeight="1">
      <c r="A1857"/>
      <c r="B1857"/>
      <c r="C1857"/>
      <c r="D1857"/>
      <c r="E1857"/>
      <c r="F1857" s="255"/>
      <c r="G1857" s="255"/>
      <c r="H1857" s="255"/>
      <c r="I1857" s="255"/>
      <c r="J1857" s="255"/>
      <c r="K1857" s="255"/>
    </row>
    <row r="1858" spans="1:11" ht="13.5" customHeight="1">
      <c r="A1858"/>
      <c r="B1858"/>
      <c r="C1858"/>
      <c r="D1858"/>
      <c r="E1858"/>
      <c r="F1858" s="255"/>
      <c r="G1858" s="255"/>
      <c r="H1858" s="255"/>
      <c r="I1858" s="255"/>
      <c r="J1858" s="255"/>
      <c r="K1858" s="255"/>
    </row>
    <row r="1859" spans="1:11" ht="13.5" customHeight="1">
      <c r="A1859"/>
      <c r="B1859"/>
      <c r="C1859"/>
      <c r="D1859"/>
      <c r="E1859"/>
      <c r="F1859" s="255"/>
      <c r="G1859" s="255"/>
      <c r="H1859" s="255"/>
      <c r="I1859" s="255"/>
      <c r="J1859" s="255"/>
      <c r="K1859" s="255"/>
    </row>
    <row r="1860" spans="1:11" ht="13.5" customHeight="1">
      <c r="A1860"/>
      <c r="B1860"/>
      <c r="C1860"/>
      <c r="D1860"/>
      <c r="E1860"/>
      <c r="F1860" s="255"/>
      <c r="G1860" s="255"/>
      <c r="H1860" s="255"/>
      <c r="I1860" s="255"/>
      <c r="J1860" s="255"/>
      <c r="K1860" s="255"/>
    </row>
    <row r="1861" spans="1:11" ht="13.5" customHeight="1">
      <c r="A1861"/>
      <c r="B1861"/>
      <c r="C1861"/>
      <c r="D1861"/>
      <c r="E1861"/>
      <c r="F1861" s="255"/>
      <c r="G1861" s="255"/>
      <c r="H1861" s="255"/>
      <c r="I1861" s="255"/>
      <c r="J1861" s="255"/>
      <c r="K1861" s="255"/>
    </row>
    <row r="1862" spans="1:11" ht="13.5" customHeight="1">
      <c r="A1862"/>
      <c r="B1862"/>
      <c r="C1862"/>
      <c r="D1862"/>
      <c r="E1862"/>
      <c r="F1862" s="255"/>
      <c r="G1862" s="255"/>
      <c r="H1862" s="255"/>
      <c r="I1862" s="255"/>
      <c r="J1862" s="255"/>
      <c r="K1862" s="255"/>
    </row>
    <row r="1863" spans="1:11" ht="13.5" customHeight="1">
      <c r="A1863"/>
      <c r="B1863"/>
      <c r="C1863"/>
      <c r="D1863"/>
      <c r="E1863"/>
      <c r="F1863" s="255"/>
      <c r="G1863" s="255"/>
      <c r="H1863" s="255"/>
      <c r="I1863" s="255"/>
      <c r="J1863" s="255"/>
      <c r="K1863" s="255"/>
    </row>
    <row r="1864" spans="1:11" ht="13.5" customHeight="1">
      <c r="A1864"/>
      <c r="B1864"/>
      <c r="C1864"/>
      <c r="D1864"/>
      <c r="E1864"/>
      <c r="F1864" s="255"/>
      <c r="G1864" s="255"/>
      <c r="H1864" s="255"/>
      <c r="I1864" s="255"/>
      <c r="J1864" s="255"/>
      <c r="K1864" s="255"/>
    </row>
    <row r="1865" spans="1:11" ht="13.5" customHeight="1">
      <c r="A1865"/>
      <c r="B1865"/>
      <c r="C1865"/>
      <c r="D1865"/>
      <c r="E1865"/>
      <c r="F1865" s="255"/>
      <c r="G1865" s="255"/>
      <c r="H1865" s="255"/>
      <c r="I1865" s="255"/>
      <c r="J1865" s="255"/>
      <c r="K1865" s="255"/>
    </row>
    <row r="1866" spans="1:11" ht="13.5" customHeight="1">
      <c r="A1866"/>
      <c r="B1866"/>
      <c r="C1866"/>
      <c r="D1866"/>
      <c r="E1866"/>
      <c r="F1866" s="255"/>
      <c r="G1866" s="255"/>
      <c r="H1866" s="255"/>
      <c r="I1866" s="255"/>
      <c r="J1866" s="255"/>
      <c r="K1866" s="255"/>
    </row>
    <row r="1867" spans="1:11" ht="13.5" customHeight="1">
      <c r="A1867"/>
      <c r="B1867"/>
      <c r="C1867"/>
      <c r="D1867"/>
      <c r="E1867"/>
      <c r="F1867" s="255"/>
      <c r="G1867" s="255"/>
      <c r="H1867" s="255"/>
      <c r="I1867" s="255"/>
      <c r="J1867" s="255"/>
      <c r="K1867" s="255"/>
    </row>
    <row r="1868" spans="1:11" ht="13.5" customHeight="1">
      <c r="A1868"/>
      <c r="B1868"/>
      <c r="C1868"/>
      <c r="D1868"/>
      <c r="E1868"/>
      <c r="F1868" s="255"/>
      <c r="G1868" s="255"/>
      <c r="H1868" s="255"/>
      <c r="I1868" s="255"/>
      <c r="J1868" s="255"/>
      <c r="K1868" s="255"/>
    </row>
    <row r="1869" spans="1:11" ht="13.5" customHeight="1">
      <c r="A1869"/>
      <c r="B1869"/>
      <c r="C1869"/>
      <c r="D1869"/>
      <c r="E1869"/>
      <c r="F1869" s="255"/>
      <c r="G1869" s="255"/>
      <c r="H1869" s="255"/>
      <c r="I1869" s="255"/>
      <c r="J1869" s="255"/>
      <c r="K1869" s="255"/>
    </row>
    <row r="1870" spans="1:11" ht="13.5" customHeight="1">
      <c r="A1870"/>
      <c r="B1870"/>
      <c r="C1870"/>
      <c r="D1870"/>
      <c r="E1870"/>
      <c r="F1870" s="255"/>
      <c r="G1870" s="255"/>
      <c r="H1870" s="255"/>
      <c r="I1870" s="255"/>
      <c r="J1870" s="255"/>
      <c r="K1870" s="255"/>
    </row>
    <row r="1871" spans="1:11" ht="13.5" customHeight="1">
      <c r="A1871"/>
      <c r="B1871"/>
      <c r="C1871"/>
      <c r="D1871"/>
      <c r="E1871"/>
      <c r="F1871" s="255"/>
      <c r="G1871" s="255"/>
      <c r="H1871" s="255"/>
      <c r="I1871" s="255"/>
      <c r="J1871" s="255"/>
      <c r="K1871" s="255"/>
    </row>
    <row r="1872" spans="1:11" ht="13.5" customHeight="1">
      <c r="A1872"/>
      <c r="B1872"/>
      <c r="C1872"/>
      <c r="D1872"/>
      <c r="E1872"/>
      <c r="F1872" s="255"/>
      <c r="G1872" s="255"/>
      <c r="H1872" s="255"/>
      <c r="I1872" s="255"/>
      <c r="J1872" s="255"/>
      <c r="K1872" s="255"/>
    </row>
    <row r="1873" spans="1:11" ht="13.5" customHeight="1">
      <c r="A1873"/>
      <c r="B1873"/>
      <c r="C1873"/>
      <c r="D1873"/>
      <c r="E1873"/>
      <c r="F1873" s="255"/>
      <c r="G1873" s="255"/>
      <c r="H1873" s="255"/>
      <c r="I1873" s="255"/>
      <c r="J1873" s="255"/>
      <c r="K1873" s="255"/>
    </row>
    <row r="1874" spans="1:11" ht="13.5" customHeight="1">
      <c r="A1874"/>
      <c r="B1874"/>
      <c r="C1874"/>
      <c r="D1874"/>
      <c r="E1874"/>
      <c r="F1874" s="255"/>
      <c r="G1874" s="255"/>
      <c r="H1874" s="255"/>
      <c r="I1874" s="255"/>
      <c r="J1874" s="255"/>
      <c r="K1874" s="255"/>
    </row>
    <row r="1875" spans="1:11" ht="13.5" customHeight="1">
      <c r="A1875"/>
      <c r="B1875"/>
      <c r="C1875"/>
      <c r="D1875"/>
      <c r="E1875"/>
      <c r="F1875" s="255"/>
      <c r="G1875" s="255"/>
      <c r="H1875" s="255"/>
      <c r="I1875" s="255"/>
      <c r="J1875" s="255"/>
      <c r="K1875" s="255"/>
    </row>
    <row r="1876" spans="1:11" ht="13.5" customHeight="1">
      <c r="A1876"/>
      <c r="B1876"/>
      <c r="C1876"/>
      <c r="D1876"/>
      <c r="E1876"/>
      <c r="F1876" s="255"/>
      <c r="G1876" s="255"/>
      <c r="H1876" s="255"/>
      <c r="I1876" s="255"/>
      <c r="J1876" s="255"/>
      <c r="K1876" s="255"/>
    </row>
    <row r="1877" spans="1:11" ht="13.5" customHeight="1">
      <c r="A1877"/>
      <c r="B1877"/>
      <c r="C1877"/>
      <c r="D1877"/>
      <c r="E1877"/>
      <c r="F1877" s="255"/>
      <c r="G1877" s="255"/>
      <c r="H1877" s="255"/>
      <c r="I1877" s="255"/>
      <c r="J1877" s="255"/>
      <c r="K1877" s="255"/>
    </row>
    <row r="1878" spans="1:11" ht="13.5" customHeight="1">
      <c r="A1878"/>
      <c r="B1878"/>
      <c r="C1878"/>
      <c r="D1878"/>
      <c r="E1878"/>
      <c r="F1878" s="255"/>
      <c r="G1878" s="255"/>
      <c r="H1878" s="255"/>
      <c r="I1878" s="255"/>
      <c r="J1878" s="255"/>
      <c r="K1878" s="255"/>
    </row>
    <row r="1879" spans="1:11" ht="13.5" customHeight="1">
      <c r="A1879"/>
      <c r="B1879"/>
      <c r="C1879"/>
      <c r="D1879"/>
      <c r="E1879"/>
      <c r="F1879" s="255"/>
      <c r="G1879" s="255"/>
      <c r="H1879" s="255"/>
      <c r="I1879" s="255"/>
      <c r="J1879" s="255"/>
      <c r="K1879" s="255"/>
    </row>
    <row r="1880" spans="1:11" ht="13.5" customHeight="1">
      <c r="A1880"/>
      <c r="B1880"/>
      <c r="C1880"/>
      <c r="D1880"/>
      <c r="E1880"/>
      <c r="F1880" s="255"/>
      <c r="G1880" s="255"/>
      <c r="H1880" s="255"/>
      <c r="I1880" s="255"/>
      <c r="J1880" s="255"/>
      <c r="K1880" s="255"/>
    </row>
    <row r="1881" spans="1:11" ht="13.5" customHeight="1">
      <c r="A1881"/>
      <c r="B1881"/>
      <c r="C1881"/>
      <c r="D1881"/>
      <c r="E1881"/>
      <c r="F1881" s="255"/>
      <c r="G1881" s="255"/>
      <c r="H1881" s="255"/>
      <c r="I1881" s="255"/>
      <c r="J1881" s="255"/>
      <c r="K1881" s="255"/>
    </row>
    <row r="1882" spans="1:11" ht="13.5" customHeight="1">
      <c r="A1882"/>
      <c r="B1882"/>
      <c r="C1882"/>
      <c r="D1882"/>
      <c r="E1882"/>
      <c r="F1882" s="255"/>
      <c r="G1882" s="255"/>
      <c r="H1882" s="255"/>
      <c r="I1882" s="255"/>
      <c r="J1882" s="255"/>
      <c r="K1882" s="255"/>
    </row>
    <row r="1883" spans="1:11" ht="13.5" customHeight="1">
      <c r="A1883"/>
      <c r="B1883"/>
      <c r="C1883"/>
      <c r="D1883"/>
      <c r="E1883"/>
      <c r="F1883" s="255"/>
      <c r="G1883" s="255"/>
      <c r="H1883" s="255"/>
      <c r="I1883" s="255"/>
      <c r="J1883" s="255"/>
      <c r="K1883" s="255"/>
    </row>
    <row r="1884" spans="1:11" ht="13.5" customHeight="1">
      <c r="A1884"/>
      <c r="B1884"/>
      <c r="C1884"/>
      <c r="D1884"/>
      <c r="E1884"/>
      <c r="F1884" s="255"/>
      <c r="G1884" s="255"/>
      <c r="H1884" s="255"/>
      <c r="I1884" s="255"/>
      <c r="J1884" s="255"/>
      <c r="K1884" s="255"/>
    </row>
    <row r="1885" spans="1:11" ht="13.5" customHeight="1">
      <c r="A1885"/>
      <c r="B1885"/>
      <c r="C1885"/>
      <c r="D1885"/>
      <c r="E1885"/>
      <c r="F1885" s="255"/>
      <c r="G1885" s="255"/>
      <c r="H1885" s="255"/>
      <c r="I1885" s="255"/>
      <c r="J1885" s="255"/>
      <c r="K1885" s="255"/>
    </row>
    <row r="1886" spans="1:11" ht="13.5" customHeight="1">
      <c r="A1886"/>
      <c r="B1886"/>
      <c r="C1886"/>
      <c r="D1886"/>
      <c r="E1886"/>
      <c r="F1886" s="255"/>
      <c r="G1886" s="255"/>
      <c r="H1886" s="255"/>
      <c r="I1886" s="255"/>
      <c r="J1886" s="255"/>
      <c r="K1886" s="255"/>
    </row>
    <row r="1887" spans="1:11" ht="13.5" customHeight="1">
      <c r="A1887"/>
      <c r="B1887"/>
      <c r="C1887"/>
      <c r="D1887"/>
      <c r="E1887"/>
      <c r="F1887" s="255"/>
      <c r="G1887" s="255"/>
      <c r="H1887" s="255"/>
      <c r="I1887" s="255"/>
      <c r="J1887" s="255"/>
      <c r="K1887" s="255"/>
    </row>
    <row r="1888" spans="1:11" ht="13.5" customHeight="1">
      <c r="A1888"/>
      <c r="B1888"/>
      <c r="C1888"/>
      <c r="D1888"/>
      <c r="E1888"/>
      <c r="F1888" s="255"/>
      <c r="G1888" s="255"/>
      <c r="H1888" s="255"/>
      <c r="I1888" s="255"/>
      <c r="J1888" s="255"/>
      <c r="K1888" s="255"/>
    </row>
    <row r="1889" spans="1:11" ht="13.5" customHeight="1">
      <c r="A1889"/>
      <c r="B1889"/>
      <c r="C1889"/>
      <c r="D1889"/>
      <c r="E1889"/>
      <c r="F1889" s="255"/>
      <c r="G1889" s="255"/>
      <c r="H1889" s="255"/>
      <c r="I1889" s="255"/>
      <c r="J1889" s="255"/>
      <c r="K1889" s="255"/>
    </row>
    <row r="1890" spans="1:11" ht="13.5" customHeight="1">
      <c r="A1890"/>
      <c r="B1890"/>
      <c r="C1890"/>
      <c r="D1890"/>
      <c r="E1890"/>
      <c r="F1890" s="255"/>
      <c r="G1890" s="255"/>
      <c r="H1890" s="255"/>
      <c r="I1890" s="255"/>
      <c r="J1890" s="255"/>
      <c r="K1890" s="255"/>
    </row>
    <row r="1891" spans="1:11" ht="13.5" customHeight="1">
      <c r="A1891"/>
      <c r="B1891"/>
      <c r="C1891"/>
      <c r="D1891"/>
      <c r="E1891"/>
      <c r="F1891" s="255"/>
      <c r="G1891" s="255"/>
      <c r="H1891" s="255"/>
      <c r="I1891" s="255"/>
      <c r="J1891" s="255"/>
      <c r="K1891" s="255"/>
    </row>
    <row r="1892" spans="1:11" ht="13.5" customHeight="1">
      <c r="A1892"/>
      <c r="B1892"/>
      <c r="C1892"/>
      <c r="D1892"/>
      <c r="E1892"/>
      <c r="F1892" s="255"/>
      <c r="G1892" s="255"/>
      <c r="H1892" s="255"/>
      <c r="I1892" s="255"/>
      <c r="J1892" s="255"/>
      <c r="K1892" s="255"/>
    </row>
    <row r="1893" spans="1:11" ht="13.5" customHeight="1">
      <c r="A1893"/>
      <c r="B1893"/>
      <c r="C1893"/>
      <c r="D1893"/>
      <c r="E1893"/>
      <c r="F1893" s="255"/>
      <c r="G1893" s="255"/>
      <c r="H1893" s="255"/>
      <c r="I1893" s="255"/>
      <c r="J1893" s="255"/>
      <c r="K1893" s="255"/>
    </row>
    <row r="1894" spans="1:11" ht="13.5" customHeight="1">
      <c r="A1894"/>
      <c r="B1894"/>
      <c r="C1894"/>
      <c r="D1894"/>
      <c r="E1894"/>
      <c r="F1894" s="255"/>
      <c r="G1894" s="255"/>
      <c r="H1894" s="255"/>
      <c r="I1894" s="255"/>
      <c r="J1894" s="255"/>
      <c r="K1894" s="255"/>
    </row>
    <row r="1895" spans="1:11" ht="13.5" customHeight="1">
      <c r="A1895"/>
      <c r="B1895"/>
      <c r="C1895"/>
      <c r="D1895"/>
      <c r="E1895"/>
      <c r="F1895" s="255"/>
      <c r="G1895" s="255"/>
      <c r="H1895" s="255"/>
      <c r="I1895" s="255"/>
      <c r="J1895" s="255"/>
      <c r="K1895" s="255"/>
    </row>
    <row r="1896" spans="1:11" ht="13.5" customHeight="1">
      <c r="A1896"/>
      <c r="B1896"/>
      <c r="C1896"/>
      <c r="D1896"/>
      <c r="E1896"/>
      <c r="F1896" s="255"/>
      <c r="G1896" s="255"/>
      <c r="H1896" s="255"/>
      <c r="I1896" s="255"/>
      <c r="J1896" s="255"/>
      <c r="K1896" s="255"/>
    </row>
    <row r="1897" spans="1:11" ht="13.5" customHeight="1">
      <c r="A1897"/>
      <c r="B1897"/>
      <c r="C1897"/>
      <c r="D1897"/>
      <c r="E1897"/>
      <c r="F1897" s="255"/>
      <c r="G1897" s="255"/>
      <c r="H1897" s="255"/>
      <c r="I1897" s="255"/>
      <c r="J1897" s="255"/>
      <c r="K1897" s="255"/>
    </row>
    <row r="1898" spans="1:11" ht="13.5" customHeight="1">
      <c r="A1898"/>
      <c r="B1898"/>
      <c r="C1898"/>
      <c r="D1898"/>
      <c r="E1898"/>
      <c r="F1898" s="255"/>
      <c r="G1898" s="255"/>
      <c r="H1898" s="255"/>
      <c r="I1898" s="255"/>
      <c r="J1898" s="255"/>
      <c r="K1898" s="255"/>
    </row>
    <row r="1899" spans="1:11" ht="13.5" customHeight="1">
      <c r="A1899"/>
      <c r="B1899"/>
      <c r="C1899"/>
      <c r="D1899"/>
      <c r="E1899"/>
      <c r="F1899" s="255"/>
      <c r="G1899" s="255"/>
      <c r="H1899" s="255"/>
      <c r="I1899" s="255"/>
      <c r="J1899" s="255"/>
      <c r="K1899" s="255"/>
    </row>
    <row r="1900" spans="1:11" ht="13.5" customHeight="1">
      <c r="A1900"/>
      <c r="B1900"/>
      <c r="C1900"/>
      <c r="D1900"/>
      <c r="E1900"/>
      <c r="F1900" s="255"/>
      <c r="G1900" s="255"/>
      <c r="H1900" s="255"/>
      <c r="I1900" s="255"/>
      <c r="J1900" s="255"/>
      <c r="K1900" s="255"/>
    </row>
    <row r="1901" spans="1:11" ht="13.5" customHeight="1">
      <c r="A1901"/>
      <c r="B1901"/>
      <c r="C1901"/>
      <c r="D1901"/>
      <c r="E1901"/>
      <c r="F1901" s="255"/>
      <c r="G1901" s="255"/>
      <c r="H1901" s="255"/>
      <c r="I1901" s="255"/>
      <c r="J1901" s="255"/>
      <c r="K1901" s="255"/>
    </row>
    <row r="1902" spans="1:11" ht="13.5" customHeight="1">
      <c r="A1902"/>
      <c r="B1902"/>
      <c r="C1902"/>
      <c r="D1902"/>
      <c r="E1902"/>
      <c r="F1902" s="255"/>
      <c r="G1902" s="255"/>
      <c r="H1902" s="255"/>
      <c r="I1902" s="255"/>
      <c r="J1902" s="255"/>
      <c r="K1902" s="255"/>
    </row>
    <row r="1903" spans="1:11" ht="13.5" customHeight="1">
      <c r="A1903"/>
      <c r="B1903"/>
      <c r="C1903"/>
      <c r="D1903"/>
      <c r="E1903"/>
      <c r="F1903" s="255"/>
      <c r="G1903" s="255"/>
      <c r="H1903" s="255"/>
      <c r="I1903" s="255"/>
      <c r="J1903" s="255"/>
      <c r="K1903" s="255"/>
    </row>
    <row r="1904" spans="1:11" ht="13.5" customHeight="1">
      <c r="A1904"/>
      <c r="B1904"/>
      <c r="C1904"/>
      <c r="D1904"/>
      <c r="E1904"/>
      <c r="F1904" s="255"/>
      <c r="G1904" s="255"/>
      <c r="H1904" s="255"/>
      <c r="I1904" s="255"/>
      <c r="J1904" s="255"/>
      <c r="K1904" s="255"/>
    </row>
    <row r="1905" spans="1:11" ht="13.5" customHeight="1">
      <c r="A1905"/>
      <c r="B1905"/>
      <c r="C1905"/>
      <c r="D1905"/>
      <c r="E1905"/>
      <c r="F1905" s="255"/>
      <c r="G1905" s="255"/>
      <c r="H1905" s="255"/>
      <c r="I1905" s="255"/>
      <c r="J1905" s="255"/>
      <c r="K1905" s="255"/>
    </row>
    <row r="1906" spans="1:11" ht="13.5" customHeight="1">
      <c r="A1906"/>
      <c r="B1906"/>
      <c r="C1906"/>
      <c r="D1906"/>
      <c r="E1906"/>
      <c r="F1906" s="255"/>
      <c r="G1906" s="255"/>
      <c r="H1906" s="255"/>
      <c r="I1906" s="255"/>
      <c r="J1906" s="255"/>
      <c r="K1906" s="255"/>
    </row>
    <row r="1907" spans="1:11" ht="13.5" customHeight="1">
      <c r="A1907"/>
      <c r="B1907"/>
      <c r="C1907"/>
      <c r="D1907"/>
      <c r="E1907"/>
      <c r="F1907" s="255"/>
      <c r="G1907" s="255"/>
      <c r="H1907" s="255"/>
      <c r="I1907" s="255"/>
      <c r="J1907" s="255"/>
      <c r="K1907" s="255"/>
    </row>
    <row r="1908" spans="1:11" ht="13.5" customHeight="1">
      <c r="A1908"/>
      <c r="B1908"/>
      <c r="C1908"/>
      <c r="D1908"/>
      <c r="E1908"/>
      <c r="F1908" s="255"/>
      <c r="G1908" s="255"/>
      <c r="H1908" s="255"/>
      <c r="I1908" s="255"/>
      <c r="J1908" s="255"/>
      <c r="K1908" s="255"/>
    </row>
    <row r="1909" spans="1:11" ht="13.5" customHeight="1">
      <c r="A1909"/>
      <c r="B1909"/>
      <c r="C1909"/>
      <c r="D1909"/>
      <c r="E1909"/>
      <c r="F1909" s="255"/>
      <c r="G1909" s="255"/>
      <c r="H1909" s="255"/>
      <c r="I1909" s="255"/>
      <c r="J1909" s="255"/>
      <c r="K1909" s="255"/>
    </row>
    <row r="1910" spans="1:11" ht="13.5" customHeight="1">
      <c r="A1910"/>
      <c r="B1910"/>
      <c r="C1910"/>
      <c r="D1910"/>
      <c r="E1910"/>
      <c r="F1910" s="255"/>
      <c r="G1910" s="255"/>
      <c r="H1910" s="255"/>
      <c r="I1910" s="255"/>
      <c r="J1910" s="255"/>
      <c r="K1910" s="255"/>
    </row>
    <row r="1911" spans="1:11" ht="13.5" customHeight="1">
      <c r="A1911"/>
      <c r="B1911"/>
      <c r="C1911"/>
      <c r="D1911"/>
      <c r="E1911"/>
      <c r="F1911" s="255"/>
      <c r="G1911" s="255"/>
      <c r="H1911" s="255"/>
      <c r="I1911" s="255"/>
      <c r="J1911" s="255"/>
      <c r="K1911" s="255"/>
    </row>
    <row r="1912" spans="1:11" ht="13.5" customHeight="1">
      <c r="A1912"/>
      <c r="B1912"/>
      <c r="C1912"/>
      <c r="D1912"/>
      <c r="E1912"/>
      <c r="F1912" s="255"/>
      <c r="G1912" s="255"/>
      <c r="H1912" s="255"/>
      <c r="I1912" s="255"/>
      <c r="J1912" s="255"/>
      <c r="K1912" s="255"/>
    </row>
    <row r="1913" spans="1:11" ht="13.5" customHeight="1">
      <c r="A1913"/>
      <c r="B1913"/>
      <c r="C1913"/>
      <c r="D1913"/>
      <c r="E1913"/>
      <c r="F1913" s="255"/>
      <c r="G1913" s="255"/>
      <c r="H1913" s="255"/>
      <c r="I1913" s="255"/>
      <c r="J1913" s="255"/>
      <c r="K1913" s="255"/>
    </row>
    <row r="1914" spans="1:11" ht="13.5" customHeight="1">
      <c r="A1914"/>
      <c r="B1914"/>
      <c r="C1914"/>
      <c r="D1914"/>
      <c r="E1914"/>
      <c r="F1914" s="255"/>
      <c r="G1914" s="255"/>
      <c r="H1914" s="255"/>
      <c r="I1914" s="255"/>
      <c r="J1914" s="255"/>
      <c r="K1914" s="255"/>
    </row>
    <row r="1915" spans="1:11" ht="13.5" customHeight="1">
      <c r="A1915"/>
      <c r="B1915"/>
      <c r="C1915"/>
      <c r="D1915"/>
      <c r="E1915"/>
      <c r="F1915" s="255"/>
      <c r="G1915" s="255"/>
      <c r="H1915" s="255"/>
      <c r="I1915" s="255"/>
      <c r="J1915" s="255"/>
      <c r="K1915" s="255"/>
    </row>
    <row r="1916" spans="1:11" ht="13.5" customHeight="1">
      <c r="A1916"/>
      <c r="B1916"/>
      <c r="C1916"/>
      <c r="D1916"/>
      <c r="E1916"/>
      <c r="F1916" s="255"/>
      <c r="G1916" s="255"/>
      <c r="H1916" s="255"/>
      <c r="I1916" s="255"/>
      <c r="J1916" s="255"/>
      <c r="K1916" s="255"/>
    </row>
    <row r="1917" spans="1:11" ht="13.5" customHeight="1">
      <c r="A1917"/>
      <c r="B1917"/>
      <c r="C1917"/>
      <c r="D1917"/>
      <c r="E1917"/>
      <c r="F1917" s="255"/>
      <c r="G1917" s="255"/>
      <c r="H1917" s="255"/>
      <c r="I1917" s="255"/>
      <c r="J1917" s="255"/>
      <c r="K1917" s="255"/>
    </row>
    <row r="1918" spans="1:11" ht="13.5" customHeight="1">
      <c r="A1918"/>
      <c r="B1918"/>
      <c r="C1918"/>
      <c r="D1918"/>
      <c r="E1918"/>
      <c r="F1918" s="255"/>
      <c r="G1918" s="255"/>
      <c r="H1918" s="255"/>
      <c r="I1918" s="255"/>
      <c r="J1918" s="255"/>
      <c r="K1918" s="255"/>
    </row>
    <row r="1919" spans="1:11" ht="13.5" customHeight="1">
      <c r="A1919"/>
      <c r="B1919"/>
      <c r="C1919"/>
      <c r="D1919"/>
      <c r="E1919"/>
      <c r="F1919" s="255"/>
      <c r="G1919" s="255"/>
      <c r="H1919" s="255"/>
      <c r="I1919" s="255"/>
      <c r="J1919" s="255"/>
      <c r="K1919" s="255"/>
    </row>
    <row r="1920" spans="1:11" ht="13.5" customHeight="1">
      <c r="A1920"/>
      <c r="B1920"/>
      <c r="C1920"/>
      <c r="D1920"/>
      <c r="E1920"/>
      <c r="F1920" s="255"/>
      <c r="G1920" s="255"/>
      <c r="H1920" s="255"/>
      <c r="I1920" s="255"/>
      <c r="J1920" s="255"/>
      <c r="K1920" s="255"/>
    </row>
    <row r="1921" spans="1:11" ht="13.5" customHeight="1">
      <c r="A1921"/>
      <c r="B1921"/>
      <c r="C1921"/>
      <c r="D1921"/>
      <c r="E1921"/>
      <c r="F1921" s="255"/>
      <c r="G1921" s="255"/>
      <c r="H1921" s="255"/>
      <c r="I1921" s="255"/>
      <c r="J1921" s="255"/>
      <c r="K1921" s="255"/>
    </row>
    <row r="1922" spans="1:11" ht="13.5" customHeight="1">
      <c r="A1922"/>
      <c r="B1922"/>
      <c r="C1922"/>
      <c r="D1922"/>
      <c r="E1922"/>
      <c r="F1922" s="255"/>
      <c r="G1922" s="255"/>
      <c r="H1922" s="255"/>
      <c r="I1922" s="255"/>
      <c r="J1922" s="255"/>
      <c r="K1922" s="255"/>
    </row>
    <row r="1923" spans="1:11" ht="13.5" customHeight="1">
      <c r="A1923"/>
      <c r="B1923"/>
      <c r="C1923"/>
      <c r="D1923"/>
      <c r="E1923"/>
      <c r="F1923" s="255"/>
      <c r="G1923" s="255"/>
      <c r="H1923" s="255"/>
      <c r="I1923" s="255"/>
      <c r="J1923" s="255"/>
      <c r="K1923" s="255"/>
    </row>
    <row r="1924" spans="1:11" ht="13.5" customHeight="1">
      <c r="A1924"/>
      <c r="B1924"/>
      <c r="C1924"/>
      <c r="D1924"/>
      <c r="E1924"/>
      <c r="F1924" s="255"/>
      <c r="G1924" s="255"/>
      <c r="H1924" s="255"/>
      <c r="I1924" s="255"/>
      <c r="J1924" s="255"/>
      <c r="K1924" s="255"/>
    </row>
    <row r="1925" spans="1:11" ht="13.5" customHeight="1">
      <c r="A1925"/>
      <c r="B1925"/>
      <c r="C1925"/>
      <c r="D1925"/>
      <c r="E1925"/>
      <c r="F1925" s="255"/>
      <c r="G1925" s="255"/>
      <c r="H1925" s="255"/>
      <c r="I1925" s="255"/>
      <c r="J1925" s="255"/>
      <c r="K1925" s="255"/>
    </row>
    <row r="1926" spans="1:11" ht="13.5" customHeight="1">
      <c r="A1926"/>
      <c r="B1926"/>
      <c r="C1926"/>
      <c r="D1926"/>
      <c r="E1926"/>
      <c r="F1926" s="255"/>
      <c r="G1926" s="255"/>
      <c r="H1926" s="255"/>
      <c r="I1926" s="255"/>
      <c r="J1926" s="255"/>
      <c r="K1926" s="255"/>
    </row>
    <row r="1927" spans="1:11" ht="13.5" customHeight="1">
      <c r="A1927"/>
      <c r="B1927"/>
      <c r="C1927"/>
      <c r="D1927"/>
      <c r="E1927"/>
      <c r="F1927" s="255"/>
      <c r="G1927" s="255"/>
      <c r="H1927" s="255"/>
      <c r="I1927" s="255"/>
      <c r="J1927" s="255"/>
      <c r="K1927" s="255"/>
    </row>
    <row r="1928" spans="1:11" ht="13.5" customHeight="1">
      <c r="A1928"/>
      <c r="B1928"/>
      <c r="C1928"/>
      <c r="D1928"/>
      <c r="E1928"/>
      <c r="F1928" s="255"/>
      <c r="G1928" s="255"/>
      <c r="H1928" s="255"/>
      <c r="I1928" s="255"/>
      <c r="J1928" s="255"/>
      <c r="K1928" s="255"/>
    </row>
    <row r="1929" spans="1:11" ht="13.5" customHeight="1">
      <c r="A1929"/>
      <c r="B1929"/>
      <c r="C1929"/>
      <c r="D1929"/>
      <c r="E1929"/>
      <c r="F1929" s="255"/>
      <c r="G1929" s="255"/>
      <c r="H1929" s="255"/>
      <c r="I1929" s="255"/>
      <c r="J1929" s="255"/>
      <c r="K1929" s="255"/>
    </row>
    <row r="1930" spans="1:11" ht="13.5" customHeight="1">
      <c r="A1930"/>
      <c r="B1930"/>
      <c r="C1930"/>
      <c r="D1930"/>
      <c r="E1930"/>
      <c r="F1930" s="255"/>
      <c r="G1930" s="255"/>
      <c r="H1930" s="255"/>
      <c r="I1930" s="255"/>
      <c r="J1930" s="255"/>
      <c r="K1930" s="255"/>
    </row>
    <row r="1931" spans="1:11" ht="13.5" customHeight="1">
      <c r="A1931"/>
      <c r="B1931"/>
      <c r="C1931"/>
      <c r="D1931"/>
      <c r="E1931"/>
      <c r="F1931" s="255"/>
      <c r="G1931" s="255"/>
      <c r="H1931" s="255"/>
      <c r="I1931" s="255"/>
      <c r="J1931" s="255"/>
      <c r="K1931" s="255"/>
    </row>
    <row r="1932" spans="1:11" ht="13.5" customHeight="1">
      <c r="A1932"/>
      <c r="B1932"/>
      <c r="C1932"/>
      <c r="D1932"/>
      <c r="E1932"/>
      <c r="F1932" s="255"/>
      <c r="G1932" s="255"/>
      <c r="H1932" s="255"/>
      <c r="I1932" s="255"/>
      <c r="J1932" s="255"/>
      <c r="K1932" s="255"/>
    </row>
    <row r="1933" spans="1:11" ht="13.5" customHeight="1">
      <c r="A1933"/>
      <c r="B1933"/>
      <c r="C1933"/>
      <c r="D1933"/>
      <c r="E1933"/>
      <c r="F1933" s="255"/>
      <c r="G1933" s="255"/>
      <c r="H1933" s="255"/>
      <c r="I1933" s="255"/>
      <c r="J1933" s="255"/>
      <c r="K1933" s="255"/>
    </row>
    <row r="1934" spans="1:11" ht="13.5" customHeight="1">
      <c r="A1934"/>
      <c r="B1934"/>
      <c r="C1934"/>
      <c r="D1934"/>
      <c r="E1934"/>
      <c r="F1934" s="255"/>
      <c r="G1934" s="255"/>
      <c r="H1934" s="255"/>
      <c r="I1934" s="255"/>
      <c r="J1934" s="255"/>
      <c r="K1934" s="255"/>
    </row>
    <row r="1935" spans="1:11" ht="13.5" customHeight="1">
      <c r="A1935"/>
      <c r="B1935"/>
      <c r="C1935"/>
      <c r="D1935"/>
      <c r="E1935"/>
      <c r="F1935" s="255"/>
      <c r="G1935" s="255"/>
      <c r="H1935" s="255"/>
      <c r="I1935" s="255"/>
      <c r="J1935" s="255"/>
      <c r="K1935" s="255"/>
    </row>
    <row r="1936" spans="1:11" ht="13.5" customHeight="1">
      <c r="A1936"/>
      <c r="B1936"/>
      <c r="C1936"/>
      <c r="D1936"/>
      <c r="E1936"/>
      <c r="F1936" s="255"/>
      <c r="G1936" s="255"/>
      <c r="H1936" s="255"/>
      <c r="I1936" s="255"/>
      <c r="J1936" s="255"/>
      <c r="K1936" s="255"/>
    </row>
    <row r="1937" spans="1:11" ht="13.5" customHeight="1">
      <c r="A1937"/>
      <c r="B1937"/>
      <c r="C1937"/>
      <c r="D1937"/>
      <c r="E1937"/>
      <c r="F1937" s="255"/>
      <c r="G1937" s="255"/>
      <c r="H1937" s="255"/>
      <c r="I1937" s="255"/>
      <c r="J1937" s="255"/>
      <c r="K1937" s="255"/>
    </row>
    <row r="1938" spans="1:11" ht="13.5" customHeight="1">
      <c r="A1938"/>
      <c r="B1938"/>
      <c r="C1938"/>
      <c r="D1938"/>
      <c r="E1938"/>
      <c r="F1938" s="255"/>
      <c r="G1938" s="255"/>
      <c r="H1938" s="255"/>
      <c r="I1938" s="255"/>
      <c r="J1938" s="255"/>
      <c r="K1938" s="255"/>
    </row>
    <row r="1939" spans="1:11" ht="13.5" customHeight="1">
      <c r="A1939"/>
      <c r="B1939"/>
      <c r="C1939"/>
      <c r="D1939"/>
      <c r="E1939"/>
      <c r="F1939" s="255"/>
      <c r="G1939" s="255"/>
      <c r="H1939" s="255"/>
      <c r="I1939" s="255"/>
      <c r="J1939" s="255"/>
      <c r="K1939" s="255"/>
    </row>
    <row r="1940" spans="1:11" ht="13.5" customHeight="1">
      <c r="A1940"/>
      <c r="B1940"/>
      <c r="C1940"/>
      <c r="D1940"/>
      <c r="E1940"/>
      <c r="F1940" s="255"/>
      <c r="G1940" s="255"/>
      <c r="H1940" s="255"/>
      <c r="I1940" s="255"/>
      <c r="J1940" s="255"/>
      <c r="K1940" s="255"/>
    </row>
    <row r="1941" spans="1:11" ht="13.5" customHeight="1">
      <c r="A1941"/>
      <c r="B1941"/>
      <c r="C1941"/>
      <c r="D1941"/>
      <c r="E1941"/>
      <c r="F1941" s="255"/>
      <c r="G1941" s="255"/>
      <c r="H1941" s="255"/>
      <c r="I1941" s="255"/>
      <c r="J1941" s="255"/>
      <c r="K1941" s="255"/>
    </row>
    <row r="1942" spans="1:11" ht="13.5" customHeight="1">
      <c r="A1942"/>
      <c r="B1942"/>
      <c r="C1942"/>
      <c r="D1942"/>
      <c r="E1942"/>
      <c r="F1942" s="255"/>
      <c r="G1942" s="255"/>
      <c r="H1942" s="255"/>
      <c r="I1942" s="255"/>
      <c r="J1942" s="255"/>
      <c r="K1942" s="255"/>
    </row>
    <row r="1943" spans="1:11" ht="13.5" customHeight="1">
      <c r="A1943"/>
      <c r="B1943"/>
      <c r="C1943"/>
      <c r="D1943"/>
      <c r="E1943"/>
      <c r="F1943" s="255"/>
      <c r="G1943" s="255"/>
      <c r="H1943" s="255"/>
      <c r="I1943" s="255"/>
      <c r="J1943" s="255"/>
      <c r="K1943" s="255"/>
    </row>
    <row r="1944" spans="1:11" ht="13.5" customHeight="1">
      <c r="A1944"/>
      <c r="B1944"/>
      <c r="C1944"/>
      <c r="D1944"/>
      <c r="E1944"/>
      <c r="F1944" s="255"/>
      <c r="G1944" s="255"/>
      <c r="H1944" s="255"/>
      <c r="I1944" s="255"/>
      <c r="J1944" s="255"/>
      <c r="K1944" s="255"/>
    </row>
    <row r="1945" spans="1:11" ht="13.5" customHeight="1">
      <c r="A1945"/>
      <c r="B1945"/>
      <c r="C1945"/>
      <c r="D1945"/>
      <c r="E1945"/>
      <c r="F1945" s="255"/>
      <c r="G1945" s="255"/>
      <c r="H1945" s="255"/>
      <c r="I1945" s="255"/>
      <c r="J1945" s="255"/>
      <c r="K1945" s="255"/>
    </row>
    <row r="1946" spans="1:11" ht="13.5" customHeight="1">
      <c r="A1946"/>
      <c r="B1946"/>
      <c r="C1946"/>
      <c r="D1946"/>
      <c r="E1946"/>
      <c r="F1946" s="255"/>
      <c r="G1946" s="255"/>
      <c r="H1946" s="255"/>
      <c r="I1946" s="255"/>
      <c r="J1946" s="255"/>
      <c r="K1946" s="255"/>
    </row>
    <row r="1947" spans="1:11" ht="13.5" customHeight="1">
      <c r="A1947"/>
      <c r="B1947"/>
      <c r="C1947"/>
      <c r="D1947"/>
      <c r="E1947"/>
      <c r="F1947" s="255"/>
      <c r="G1947" s="255"/>
      <c r="H1947" s="255"/>
      <c r="I1947" s="255"/>
      <c r="J1947" s="255"/>
      <c r="K1947" s="255"/>
    </row>
    <row r="1948" spans="1:11" ht="13.5" customHeight="1">
      <c r="A1948"/>
      <c r="B1948"/>
      <c r="C1948"/>
      <c r="D1948"/>
      <c r="E1948"/>
      <c r="F1948" s="255"/>
      <c r="G1948" s="255"/>
      <c r="H1948" s="255"/>
      <c r="I1948" s="255"/>
      <c r="J1948" s="255"/>
      <c r="K1948" s="255"/>
    </row>
    <row r="1949" spans="1:11" ht="13.5" customHeight="1">
      <c r="A1949"/>
      <c r="B1949"/>
      <c r="C1949"/>
      <c r="D1949"/>
      <c r="E1949"/>
      <c r="F1949" s="255"/>
      <c r="G1949" s="255"/>
      <c r="H1949" s="255"/>
      <c r="I1949" s="255"/>
      <c r="J1949" s="255"/>
      <c r="K1949" s="255"/>
    </row>
    <row r="1950" spans="1:11" ht="13.5" customHeight="1">
      <c r="A1950"/>
      <c r="B1950"/>
      <c r="C1950"/>
      <c r="D1950"/>
      <c r="E1950"/>
      <c r="F1950" s="255"/>
      <c r="G1950" s="255"/>
      <c r="H1950" s="255"/>
      <c r="I1950" s="255"/>
      <c r="J1950" s="255"/>
      <c r="K1950" s="255"/>
    </row>
    <row r="1951" spans="1:11" ht="13.5" customHeight="1">
      <c r="A1951"/>
      <c r="B1951"/>
      <c r="C1951"/>
      <c r="D1951"/>
      <c r="E1951"/>
      <c r="F1951" s="255"/>
      <c r="G1951" s="255"/>
      <c r="H1951" s="255"/>
      <c r="I1951" s="255"/>
      <c r="J1951" s="255"/>
      <c r="K1951" s="255"/>
    </row>
    <row r="1952" spans="1:11" ht="13.5" customHeight="1">
      <c r="A1952"/>
      <c r="B1952"/>
      <c r="C1952"/>
      <c r="D1952"/>
      <c r="E1952"/>
      <c r="F1952" s="255"/>
      <c r="G1952" s="255"/>
      <c r="H1952" s="255"/>
      <c r="I1952" s="255"/>
      <c r="J1952" s="255"/>
      <c r="K1952" s="255"/>
    </row>
    <row r="1953" spans="1:11" ht="13.5" customHeight="1">
      <c r="A1953"/>
      <c r="B1953"/>
      <c r="C1953"/>
      <c r="D1953"/>
      <c r="E1953"/>
      <c r="F1953" s="255"/>
      <c r="G1953" s="255"/>
      <c r="H1953" s="255"/>
      <c r="I1953" s="255"/>
      <c r="J1953" s="255"/>
      <c r="K1953" s="255"/>
    </row>
    <row r="1954" spans="1:11" ht="13.5" customHeight="1">
      <c r="A1954"/>
      <c r="B1954"/>
      <c r="C1954"/>
      <c r="D1954"/>
      <c r="E1954"/>
      <c r="F1954" s="255"/>
      <c r="G1954" s="255"/>
      <c r="H1954" s="255"/>
      <c r="I1954" s="255"/>
      <c r="J1954" s="255"/>
      <c r="K1954" s="255"/>
    </row>
    <row r="1955" spans="1:11" ht="13.5" customHeight="1">
      <c r="A1955"/>
      <c r="B1955"/>
      <c r="C1955"/>
      <c r="D1955"/>
      <c r="E1955"/>
      <c r="F1955" s="255"/>
      <c r="G1955" s="255"/>
      <c r="H1955" s="255"/>
      <c r="I1955" s="255"/>
      <c r="J1955" s="255"/>
      <c r="K1955" s="255"/>
    </row>
    <row r="1956" spans="1:11" ht="13.5" customHeight="1">
      <c r="A1956"/>
      <c r="B1956"/>
      <c r="C1956"/>
      <c r="D1956"/>
      <c r="E1956"/>
      <c r="F1956" s="255"/>
      <c r="G1956" s="255"/>
      <c r="H1956" s="255"/>
      <c r="I1956" s="255"/>
      <c r="J1956" s="255"/>
      <c r="K1956" s="255"/>
    </row>
    <row r="1957" spans="1:11" ht="13.5" customHeight="1">
      <c r="A1957"/>
      <c r="B1957"/>
      <c r="C1957"/>
      <c r="D1957"/>
      <c r="E1957"/>
      <c r="F1957" s="255"/>
      <c r="G1957" s="255"/>
      <c r="H1957" s="255"/>
      <c r="I1957" s="255"/>
      <c r="J1957" s="255"/>
      <c r="K1957" s="255"/>
    </row>
    <row r="1958" spans="1:11" ht="13.5" customHeight="1">
      <c r="A1958"/>
      <c r="B1958"/>
      <c r="C1958"/>
      <c r="D1958"/>
      <c r="E1958"/>
      <c r="F1958" s="255"/>
      <c r="G1958" s="255"/>
      <c r="H1958" s="255"/>
      <c r="I1958" s="255"/>
      <c r="J1958" s="255"/>
      <c r="K1958" s="255"/>
    </row>
    <row r="1959" spans="1:11" ht="13.5" customHeight="1">
      <c r="A1959"/>
      <c r="B1959"/>
      <c r="C1959"/>
      <c r="D1959"/>
      <c r="E1959"/>
      <c r="F1959" s="255"/>
      <c r="G1959" s="255"/>
      <c r="H1959" s="255"/>
      <c r="I1959" s="255"/>
      <c r="J1959" s="255"/>
      <c r="K1959" s="255"/>
    </row>
    <row r="1960" spans="1:11" ht="13.5" customHeight="1">
      <c r="A1960"/>
      <c r="B1960"/>
      <c r="C1960"/>
      <c r="D1960"/>
      <c r="E1960"/>
      <c r="F1960" s="255"/>
      <c r="G1960" s="255"/>
      <c r="H1960" s="255"/>
      <c r="I1960" s="255"/>
      <c r="J1960" s="255"/>
      <c r="K1960" s="255"/>
    </row>
    <row r="1961" spans="1:11" ht="13.5" customHeight="1">
      <c r="A1961"/>
      <c r="B1961"/>
      <c r="C1961"/>
      <c r="D1961"/>
      <c r="E1961"/>
      <c r="F1961" s="255"/>
      <c r="G1961" s="255"/>
      <c r="H1961" s="255"/>
      <c r="I1961" s="255"/>
      <c r="J1961" s="255"/>
      <c r="K1961" s="255"/>
    </row>
    <row r="1962" spans="1:11" ht="13.5" customHeight="1">
      <c r="A1962"/>
      <c r="B1962"/>
      <c r="C1962"/>
      <c r="D1962"/>
      <c r="E1962"/>
      <c r="F1962" s="255"/>
      <c r="G1962" s="255"/>
      <c r="H1962" s="255"/>
      <c r="I1962" s="255"/>
      <c r="J1962" s="255"/>
      <c r="K1962" s="255"/>
    </row>
    <row r="1963" spans="1:11" ht="13.5" customHeight="1">
      <c r="A1963"/>
      <c r="B1963"/>
      <c r="C1963"/>
      <c r="D1963"/>
      <c r="E1963"/>
      <c r="F1963" s="255"/>
      <c r="G1963" s="255"/>
      <c r="H1963" s="255"/>
      <c r="I1963" s="255"/>
      <c r="J1963" s="255"/>
      <c r="K1963" s="255"/>
    </row>
    <row r="1964" spans="1:11" ht="13.5" customHeight="1">
      <c r="A1964"/>
      <c r="B1964"/>
      <c r="C1964"/>
      <c r="D1964"/>
      <c r="E1964"/>
      <c r="F1964" s="255"/>
      <c r="G1964" s="255"/>
      <c r="H1964" s="255"/>
      <c r="I1964" s="255"/>
      <c r="J1964" s="255"/>
      <c r="K1964" s="255"/>
    </row>
    <row r="1965" spans="1:11" ht="13.5" customHeight="1">
      <c r="A1965"/>
      <c r="B1965"/>
      <c r="C1965"/>
      <c r="D1965"/>
      <c r="E1965"/>
      <c r="F1965" s="255"/>
      <c r="G1965" s="255"/>
      <c r="H1965" s="255"/>
      <c r="I1965" s="255"/>
      <c r="J1965" s="255"/>
      <c r="K1965" s="255"/>
    </row>
    <row r="1966" spans="1:11" ht="13.5" customHeight="1">
      <c r="A1966"/>
      <c r="B1966"/>
      <c r="C1966"/>
      <c r="D1966"/>
      <c r="E1966"/>
      <c r="F1966" s="255"/>
      <c r="G1966" s="255"/>
      <c r="H1966" s="255"/>
      <c r="I1966" s="255"/>
      <c r="J1966" s="255"/>
      <c r="K1966" s="255"/>
    </row>
    <row r="1967" spans="1:11" ht="13.5" customHeight="1">
      <c r="A1967"/>
      <c r="B1967"/>
      <c r="C1967"/>
      <c r="D1967"/>
      <c r="E1967"/>
      <c r="F1967" s="255"/>
      <c r="G1967" s="255"/>
      <c r="H1967" s="255"/>
      <c r="I1967" s="255"/>
      <c r="J1967" s="255"/>
      <c r="K1967" s="255"/>
    </row>
    <row r="1968" spans="1:11" ht="13.5" customHeight="1">
      <c r="A1968"/>
      <c r="B1968"/>
      <c r="C1968"/>
      <c r="D1968"/>
      <c r="E1968"/>
      <c r="F1968" s="255"/>
      <c r="G1968" s="255"/>
      <c r="H1968" s="255"/>
      <c r="I1968" s="255"/>
      <c r="J1968" s="255"/>
      <c r="K1968" s="255"/>
    </row>
    <row r="1969" spans="1:11" ht="13.5" customHeight="1">
      <c r="A1969"/>
      <c r="B1969"/>
      <c r="C1969"/>
      <c r="D1969"/>
      <c r="E1969"/>
      <c r="F1969" s="255"/>
      <c r="G1969" s="255"/>
      <c r="H1969" s="255"/>
      <c r="I1969" s="255"/>
      <c r="J1969" s="255"/>
      <c r="K1969" s="255"/>
    </row>
    <row r="1970" spans="1:11" ht="13.5" customHeight="1">
      <c r="A1970"/>
      <c r="B1970"/>
      <c r="C1970"/>
      <c r="D1970"/>
      <c r="E1970"/>
      <c r="F1970" s="255"/>
      <c r="G1970" s="255"/>
      <c r="H1970" s="255"/>
      <c r="I1970" s="255"/>
      <c r="J1970" s="255"/>
      <c r="K1970" s="255"/>
    </row>
    <row r="1971" spans="1:11" ht="13.5" customHeight="1">
      <c r="A1971"/>
      <c r="B1971"/>
      <c r="C1971"/>
      <c r="D1971"/>
      <c r="E1971"/>
      <c r="F1971" s="255"/>
      <c r="G1971" s="255"/>
      <c r="H1971" s="255"/>
      <c r="I1971" s="255"/>
      <c r="J1971" s="255"/>
      <c r="K1971" s="255"/>
    </row>
    <row r="1972" spans="1:11" ht="13.5" customHeight="1">
      <c r="A1972"/>
      <c r="B1972"/>
      <c r="C1972"/>
      <c r="D1972"/>
      <c r="E1972"/>
      <c r="F1972" s="255"/>
      <c r="G1972" s="255"/>
      <c r="H1972" s="255"/>
      <c r="I1972" s="255"/>
      <c r="J1972" s="255"/>
      <c r="K1972" s="255"/>
    </row>
    <row r="1973" spans="1:11" ht="13.5" customHeight="1">
      <c r="A1973"/>
      <c r="B1973"/>
      <c r="C1973"/>
      <c r="D1973"/>
      <c r="E1973"/>
      <c r="F1973" s="255"/>
      <c r="G1973" s="255"/>
      <c r="H1973" s="255"/>
      <c r="I1973" s="255"/>
      <c r="J1973" s="255"/>
      <c r="K1973" s="255"/>
    </row>
    <row r="1974" spans="1:11" ht="13.5" customHeight="1">
      <c r="A1974"/>
      <c r="B1974"/>
      <c r="C1974"/>
      <c r="D1974"/>
      <c r="E1974"/>
      <c r="F1974" s="255"/>
      <c r="G1974" s="255"/>
      <c r="H1974" s="255"/>
      <c r="I1974" s="255"/>
      <c r="J1974" s="255"/>
      <c r="K1974" s="255"/>
    </row>
    <row r="1975" spans="1:11" ht="13.5" customHeight="1">
      <c r="A1975"/>
      <c r="B1975"/>
      <c r="C1975"/>
      <c r="D1975"/>
      <c r="E1975"/>
      <c r="F1975" s="255"/>
      <c r="G1975" s="255"/>
      <c r="H1975" s="255"/>
      <c r="I1975" s="255"/>
      <c r="J1975" s="255"/>
      <c r="K1975" s="255"/>
    </row>
    <row r="1976" spans="1:11" ht="13.5" customHeight="1">
      <c r="A1976"/>
      <c r="B1976"/>
      <c r="C1976"/>
      <c r="D1976"/>
      <c r="E1976"/>
      <c r="F1976" s="255"/>
      <c r="G1976" s="255"/>
      <c r="H1976" s="255"/>
      <c r="I1976" s="255"/>
      <c r="J1976" s="255"/>
      <c r="K1976" s="255"/>
    </row>
    <row r="1977" spans="1:11" ht="13.5" customHeight="1">
      <c r="A1977"/>
      <c r="B1977"/>
      <c r="C1977"/>
      <c r="D1977"/>
      <c r="E1977"/>
      <c r="F1977" s="255"/>
      <c r="G1977" s="255"/>
      <c r="H1977" s="255"/>
      <c r="I1977" s="255"/>
      <c r="J1977" s="255"/>
      <c r="K1977" s="255"/>
    </row>
    <row r="1978" spans="1:11" ht="13.5" customHeight="1">
      <c r="A1978"/>
      <c r="B1978"/>
      <c r="C1978"/>
      <c r="D1978"/>
      <c r="E1978"/>
      <c r="F1978" s="255"/>
      <c r="G1978" s="255"/>
      <c r="H1978" s="255"/>
      <c r="I1978" s="255"/>
      <c r="J1978" s="255"/>
      <c r="K1978" s="255"/>
    </row>
    <row r="1979" spans="1:11" ht="13.5" customHeight="1">
      <c r="A1979"/>
      <c r="B1979"/>
      <c r="C1979"/>
      <c r="D1979"/>
      <c r="E1979"/>
      <c r="F1979" s="255"/>
      <c r="G1979" s="255"/>
      <c r="H1979" s="255"/>
      <c r="I1979" s="255"/>
      <c r="J1979" s="255"/>
      <c r="K1979" s="255"/>
    </row>
    <row r="1980" spans="1:11" ht="13.5" customHeight="1">
      <c r="A1980"/>
      <c r="B1980"/>
      <c r="C1980"/>
      <c r="D1980"/>
      <c r="E1980"/>
      <c r="F1980" s="255"/>
      <c r="G1980" s="255"/>
      <c r="H1980" s="255"/>
      <c r="I1980" s="255"/>
      <c r="J1980" s="255"/>
      <c r="K1980" s="255"/>
    </row>
    <row r="1981" spans="1:11" ht="13.5" customHeight="1">
      <c r="A1981"/>
      <c r="B1981"/>
      <c r="C1981"/>
      <c r="D1981"/>
      <c r="E1981"/>
      <c r="F1981" s="255"/>
      <c r="G1981" s="255"/>
      <c r="H1981" s="255"/>
      <c r="I1981" s="255"/>
      <c r="J1981" s="255"/>
      <c r="K1981" s="255"/>
    </row>
    <row r="1982" spans="1:11" ht="13.5" customHeight="1">
      <c r="A1982"/>
      <c r="B1982"/>
      <c r="C1982"/>
      <c r="D1982"/>
      <c r="E1982"/>
      <c r="F1982" s="255"/>
      <c r="G1982" s="255"/>
      <c r="H1982" s="255"/>
      <c r="I1982" s="255"/>
      <c r="J1982" s="255"/>
      <c r="K1982" s="255"/>
    </row>
    <row r="1983" spans="1:11" ht="13.5" customHeight="1">
      <c r="A1983"/>
      <c r="B1983"/>
      <c r="C1983"/>
      <c r="D1983"/>
      <c r="E1983"/>
      <c r="F1983" s="255"/>
      <c r="G1983" s="255"/>
      <c r="H1983" s="255"/>
      <c r="I1983" s="255"/>
      <c r="J1983" s="255"/>
      <c r="K1983" s="255"/>
    </row>
    <row r="1984" spans="1:11" ht="13.5" customHeight="1">
      <c r="A1984"/>
      <c r="B1984"/>
      <c r="C1984"/>
      <c r="D1984"/>
      <c r="E1984"/>
      <c r="F1984" s="255"/>
      <c r="G1984" s="255"/>
      <c r="H1984" s="255"/>
      <c r="I1984" s="255"/>
      <c r="J1984" s="255"/>
      <c r="K1984" s="255"/>
    </row>
    <row r="1985" spans="1:11" ht="13.5" customHeight="1">
      <c r="A1985"/>
      <c r="B1985"/>
      <c r="C1985"/>
      <c r="D1985"/>
      <c r="E1985"/>
      <c r="F1985" s="255"/>
      <c r="G1985" s="255"/>
      <c r="H1985" s="255"/>
      <c r="I1985" s="255"/>
      <c r="J1985" s="255"/>
      <c r="K1985" s="255"/>
    </row>
    <row r="1986" spans="1:11" ht="13.5" customHeight="1">
      <c r="A1986"/>
      <c r="B1986"/>
      <c r="C1986"/>
      <c r="D1986"/>
      <c r="E1986"/>
      <c r="F1986" s="255"/>
      <c r="G1986" s="255"/>
      <c r="H1986" s="255"/>
      <c r="I1986" s="255"/>
      <c r="J1986" s="255"/>
      <c r="K1986" s="255"/>
    </row>
    <row r="1987" spans="1:11" ht="13.5" customHeight="1">
      <c r="A1987"/>
      <c r="B1987"/>
      <c r="C1987"/>
      <c r="D1987"/>
      <c r="E1987"/>
      <c r="F1987" s="255"/>
      <c r="G1987" s="255"/>
      <c r="H1987" s="255"/>
      <c r="I1987" s="255"/>
      <c r="J1987" s="255"/>
      <c r="K1987" s="255"/>
    </row>
    <row r="1988" spans="1:11" ht="13.5" customHeight="1">
      <c r="A1988"/>
      <c r="B1988"/>
      <c r="C1988"/>
      <c r="D1988"/>
      <c r="E1988"/>
      <c r="F1988" s="255"/>
      <c r="G1988" s="255"/>
      <c r="H1988" s="255"/>
      <c r="I1988" s="255"/>
      <c r="J1988" s="255"/>
      <c r="K1988" s="255"/>
    </row>
    <row r="1989" spans="1:11" ht="13.5" customHeight="1">
      <c r="A1989"/>
      <c r="B1989"/>
      <c r="C1989"/>
      <c r="D1989"/>
      <c r="E1989"/>
      <c r="F1989" s="255"/>
      <c r="G1989" s="255"/>
      <c r="H1989" s="255"/>
      <c r="I1989" s="255"/>
      <c r="J1989" s="255"/>
      <c r="K1989" s="255"/>
    </row>
    <row r="1990" spans="1:11" ht="13.5" customHeight="1">
      <c r="A1990"/>
      <c r="B1990"/>
      <c r="C1990"/>
      <c r="D1990"/>
      <c r="E1990"/>
      <c r="F1990" s="255"/>
      <c r="G1990" s="255"/>
      <c r="H1990" s="255"/>
      <c r="I1990" s="255"/>
      <c r="J1990" s="255"/>
      <c r="K1990" s="255"/>
    </row>
    <row r="1991" spans="1:11" ht="13.5" customHeight="1">
      <c r="A1991"/>
      <c r="B1991"/>
      <c r="C1991"/>
      <c r="D1991"/>
      <c r="E1991"/>
      <c r="F1991" s="255"/>
      <c r="G1991" s="255"/>
      <c r="H1991" s="255"/>
      <c r="I1991" s="255"/>
      <c r="J1991" s="255"/>
      <c r="K1991" s="255"/>
    </row>
    <row r="1992" spans="1:11" ht="13.5" customHeight="1">
      <c r="A1992"/>
      <c r="B1992"/>
      <c r="C1992"/>
      <c r="D1992"/>
      <c r="E1992"/>
      <c r="F1992" s="255"/>
      <c r="G1992" s="255"/>
      <c r="H1992" s="255"/>
      <c r="I1992" s="255"/>
      <c r="J1992" s="255"/>
      <c r="K1992" s="255"/>
    </row>
    <row r="1993" spans="1:11" ht="13.5" customHeight="1">
      <c r="A1993"/>
      <c r="B1993"/>
      <c r="C1993"/>
      <c r="D1993"/>
      <c r="E1993"/>
      <c r="F1993" s="255"/>
      <c r="G1993" s="255"/>
      <c r="H1993" s="255"/>
      <c r="I1993" s="255"/>
      <c r="J1993" s="255"/>
      <c r="K1993" s="255"/>
    </row>
    <row r="1994" spans="1:11" ht="13.5" customHeight="1">
      <c r="A1994"/>
      <c r="B1994"/>
      <c r="C1994"/>
      <c r="D1994"/>
      <c r="E1994"/>
      <c r="F1994" s="255"/>
      <c r="G1994" s="255"/>
      <c r="H1994" s="255"/>
      <c r="I1994" s="255"/>
      <c r="J1994" s="255"/>
      <c r="K1994" s="255"/>
    </row>
    <row r="1995" spans="1:11" ht="13.5" customHeight="1">
      <c r="A1995"/>
      <c r="B1995"/>
      <c r="C1995"/>
      <c r="D1995"/>
      <c r="E1995"/>
      <c r="F1995" s="255"/>
      <c r="G1995" s="255"/>
      <c r="H1995" s="255"/>
      <c r="I1995" s="255"/>
      <c r="J1995" s="255"/>
      <c r="K1995" s="255"/>
    </row>
    <row r="1996" spans="1:11" ht="13.5" customHeight="1">
      <c r="A1996"/>
      <c r="B1996"/>
      <c r="C1996"/>
      <c r="D1996"/>
      <c r="E1996"/>
      <c r="F1996" s="255"/>
      <c r="G1996" s="255"/>
      <c r="H1996" s="255"/>
      <c r="I1996" s="255"/>
      <c r="J1996" s="255"/>
      <c r="K1996" s="255"/>
    </row>
    <row r="1997" spans="1:11" ht="13.5" customHeight="1">
      <c r="A1997"/>
      <c r="B1997"/>
      <c r="C1997"/>
      <c r="D1997"/>
      <c r="E1997"/>
      <c r="F1997" s="255"/>
      <c r="G1997" s="255"/>
      <c r="H1997" s="255"/>
      <c r="I1997" s="255"/>
      <c r="J1997" s="255"/>
      <c r="K1997" s="255"/>
    </row>
    <row r="1998" spans="1:11" ht="13.5" customHeight="1">
      <c r="A1998"/>
      <c r="B1998"/>
      <c r="C1998"/>
      <c r="D1998"/>
      <c r="E1998"/>
      <c r="F1998" s="255"/>
      <c r="G1998" s="255"/>
      <c r="H1998" s="255"/>
      <c r="I1998" s="255"/>
      <c r="J1998" s="255"/>
      <c r="K1998" s="255"/>
    </row>
    <row r="1999" spans="1:11" ht="13.5" customHeight="1">
      <c r="A1999"/>
      <c r="B1999"/>
      <c r="C1999"/>
      <c r="D1999"/>
      <c r="E1999"/>
      <c r="F1999" s="255"/>
      <c r="G1999" s="255"/>
      <c r="H1999" s="255"/>
      <c r="I1999" s="255"/>
      <c r="J1999" s="255"/>
      <c r="K1999" s="255"/>
    </row>
    <row r="2000" spans="1:11" ht="13.5" customHeight="1">
      <c r="A2000"/>
      <c r="B2000"/>
      <c r="C2000"/>
      <c r="D2000"/>
      <c r="E2000"/>
      <c r="F2000" s="255"/>
      <c r="G2000" s="255"/>
      <c r="H2000" s="255"/>
      <c r="I2000" s="255"/>
      <c r="J2000" s="255"/>
      <c r="K2000" s="255"/>
    </row>
    <row r="2001" spans="1:11" ht="13.5" customHeight="1">
      <c r="A2001"/>
      <c r="B2001"/>
      <c r="C2001"/>
      <c r="D2001"/>
      <c r="E2001"/>
      <c r="F2001" s="255"/>
      <c r="G2001" s="255"/>
      <c r="H2001" s="255"/>
      <c r="I2001" s="255"/>
      <c r="J2001" s="255"/>
      <c r="K2001" s="255"/>
    </row>
    <row r="2002" spans="1:11" ht="13.5" customHeight="1">
      <c r="A2002"/>
      <c r="B2002"/>
      <c r="C2002"/>
      <c r="D2002"/>
      <c r="E2002"/>
      <c r="F2002" s="255"/>
      <c r="G2002" s="255"/>
      <c r="H2002" s="255"/>
      <c r="I2002" s="255"/>
      <c r="J2002" s="255"/>
      <c r="K2002" s="255"/>
    </row>
    <row r="2003" spans="1:11" ht="13.5" customHeight="1">
      <c r="A2003"/>
      <c r="B2003"/>
      <c r="C2003"/>
      <c r="D2003"/>
      <c r="E2003"/>
      <c r="F2003" s="255"/>
      <c r="G2003" s="255"/>
      <c r="H2003" s="255"/>
      <c r="I2003" s="255"/>
      <c r="J2003" s="255"/>
      <c r="K2003" s="255"/>
    </row>
    <row r="2004" spans="1:11" ht="13.5" customHeight="1">
      <c r="A2004"/>
      <c r="B2004"/>
      <c r="C2004"/>
      <c r="D2004"/>
      <c r="E2004"/>
      <c r="F2004" s="255"/>
      <c r="G2004" s="255"/>
      <c r="H2004" s="255"/>
      <c r="I2004" s="255"/>
      <c r="J2004" s="255"/>
      <c r="K2004" s="255"/>
    </row>
    <row r="2005" spans="1:11" ht="13.5" customHeight="1">
      <c r="A2005"/>
      <c r="B2005"/>
      <c r="C2005"/>
      <c r="D2005"/>
      <c r="E2005"/>
      <c r="F2005" s="255"/>
      <c r="G2005" s="255"/>
      <c r="H2005" s="255"/>
      <c r="I2005" s="255"/>
      <c r="J2005" s="255"/>
      <c r="K2005" s="255"/>
    </row>
    <row r="2006" spans="1:11" ht="13.5" customHeight="1">
      <c r="A2006"/>
      <c r="B2006"/>
      <c r="C2006"/>
      <c r="D2006"/>
      <c r="E2006"/>
      <c r="F2006" s="255"/>
      <c r="G2006" s="255"/>
      <c r="H2006" s="255"/>
      <c r="I2006" s="255"/>
      <c r="J2006" s="255"/>
      <c r="K2006" s="255"/>
    </row>
    <row r="2007" spans="1:11" ht="13.5" customHeight="1">
      <c r="A2007"/>
      <c r="B2007"/>
      <c r="C2007"/>
      <c r="D2007"/>
      <c r="E2007"/>
      <c r="F2007" s="255"/>
      <c r="G2007" s="255"/>
      <c r="H2007" s="255"/>
      <c r="I2007" s="255"/>
      <c r="J2007" s="255"/>
      <c r="K2007" s="255"/>
    </row>
    <row r="2008" spans="1:11" ht="13.5" customHeight="1">
      <c r="A2008"/>
      <c r="B2008"/>
      <c r="C2008"/>
      <c r="D2008"/>
      <c r="E2008"/>
      <c r="F2008" s="255"/>
      <c r="G2008" s="255"/>
      <c r="H2008" s="255"/>
      <c r="I2008" s="255"/>
      <c r="J2008" s="255"/>
      <c r="K2008" s="255"/>
    </row>
    <row r="2009" spans="1:11" ht="13.5" customHeight="1">
      <c r="A2009"/>
      <c r="B2009"/>
      <c r="C2009"/>
      <c r="D2009"/>
      <c r="E2009"/>
      <c r="F2009" s="255"/>
      <c r="G2009" s="255"/>
      <c r="H2009" s="255"/>
      <c r="I2009" s="255"/>
      <c r="J2009" s="255"/>
      <c r="K2009" s="255"/>
    </row>
    <row r="2010" spans="1:11" ht="13.5" customHeight="1">
      <c r="A2010"/>
      <c r="B2010"/>
      <c r="C2010"/>
      <c r="D2010"/>
      <c r="E2010"/>
      <c r="F2010" s="255"/>
      <c r="G2010" s="255"/>
      <c r="H2010" s="255"/>
      <c r="I2010" s="255"/>
      <c r="J2010" s="255"/>
      <c r="K2010" s="255"/>
    </row>
    <row r="2011" spans="1:11" ht="13.5" customHeight="1">
      <c r="A2011"/>
      <c r="B2011"/>
      <c r="C2011"/>
      <c r="D2011"/>
      <c r="E2011"/>
      <c r="F2011" s="255"/>
      <c r="G2011" s="255"/>
      <c r="H2011" s="255"/>
      <c r="I2011" s="255"/>
      <c r="J2011" s="255"/>
      <c r="K2011" s="255"/>
    </row>
    <row r="2012" spans="1:11" ht="13.5" customHeight="1">
      <c r="A2012"/>
      <c r="B2012"/>
      <c r="C2012"/>
      <c r="D2012"/>
      <c r="E2012"/>
      <c r="F2012" s="255"/>
      <c r="G2012" s="255"/>
      <c r="H2012" s="255"/>
      <c r="I2012" s="255"/>
      <c r="J2012" s="255"/>
      <c r="K2012" s="255"/>
    </row>
    <row r="2013" spans="1:11" ht="13.5" customHeight="1">
      <c r="A2013"/>
      <c r="B2013"/>
      <c r="C2013"/>
      <c r="D2013"/>
      <c r="E2013"/>
      <c r="F2013" s="255"/>
      <c r="G2013" s="255"/>
      <c r="H2013" s="255"/>
      <c r="I2013" s="255"/>
      <c r="J2013" s="255"/>
      <c r="K2013" s="255"/>
    </row>
    <row r="2014" spans="1:11" ht="13.5" customHeight="1">
      <c r="A2014"/>
      <c r="B2014"/>
      <c r="C2014"/>
      <c r="D2014"/>
      <c r="E2014"/>
      <c r="F2014" s="255"/>
      <c r="G2014" s="255"/>
      <c r="H2014" s="255"/>
      <c r="I2014" s="255"/>
      <c r="J2014" s="255"/>
      <c r="K2014" s="255"/>
    </row>
    <row r="2015" spans="1:11" ht="13.5" customHeight="1">
      <c r="A2015"/>
      <c r="B2015"/>
      <c r="C2015"/>
      <c r="D2015"/>
      <c r="E2015"/>
      <c r="F2015" s="255"/>
      <c r="G2015" s="255"/>
      <c r="H2015" s="255"/>
      <c r="I2015" s="255"/>
      <c r="J2015" s="255"/>
      <c r="K2015" s="255"/>
    </row>
    <row r="2016" spans="1:11" ht="13.5" customHeight="1">
      <c r="A2016"/>
      <c r="B2016"/>
      <c r="C2016"/>
      <c r="D2016"/>
      <c r="E2016"/>
      <c r="F2016" s="255"/>
      <c r="G2016" s="255"/>
      <c r="H2016" s="255"/>
      <c r="I2016" s="255"/>
      <c r="J2016" s="255"/>
      <c r="K2016" s="255"/>
    </row>
    <row r="2017" spans="1:11" ht="13.5" customHeight="1">
      <c r="A2017"/>
      <c r="B2017"/>
      <c r="C2017"/>
      <c r="D2017"/>
      <c r="E2017"/>
      <c r="F2017" s="255"/>
      <c r="G2017" s="255"/>
      <c r="H2017" s="255"/>
      <c r="I2017" s="255"/>
      <c r="J2017" s="255"/>
      <c r="K2017" s="255"/>
    </row>
    <row r="2018" spans="1:11" ht="13.5" customHeight="1">
      <c r="A2018"/>
      <c r="B2018"/>
      <c r="C2018"/>
      <c r="D2018"/>
      <c r="E2018"/>
      <c r="F2018" s="255"/>
      <c r="G2018" s="255"/>
      <c r="H2018" s="255"/>
      <c r="I2018" s="255"/>
      <c r="J2018" s="255"/>
      <c r="K2018" s="255"/>
    </row>
    <row r="2019" spans="1:11" ht="13.5" customHeight="1">
      <c r="A2019"/>
      <c r="B2019"/>
      <c r="C2019"/>
      <c r="D2019"/>
      <c r="E2019"/>
      <c r="F2019" s="255"/>
      <c r="G2019" s="255"/>
      <c r="H2019" s="255"/>
      <c r="I2019" s="255"/>
      <c r="J2019" s="255"/>
      <c r="K2019" s="255"/>
    </row>
    <row r="2020" spans="1:11" ht="13.5" customHeight="1">
      <c r="A2020"/>
      <c r="B2020"/>
      <c r="C2020"/>
      <c r="D2020"/>
      <c r="E2020"/>
      <c r="F2020" s="255"/>
      <c r="G2020" s="255"/>
      <c r="H2020" s="255"/>
      <c r="I2020" s="255"/>
      <c r="J2020" s="255"/>
      <c r="K2020" s="255"/>
    </row>
    <row r="2021" spans="1:11" ht="13.5" customHeight="1">
      <c r="A2021"/>
      <c r="B2021"/>
      <c r="C2021"/>
      <c r="D2021"/>
      <c r="E2021"/>
      <c r="F2021" s="255"/>
      <c r="G2021" s="255"/>
      <c r="H2021" s="255"/>
      <c r="I2021" s="255"/>
      <c r="J2021" s="255"/>
      <c r="K2021" s="255"/>
    </row>
    <row r="2022" spans="1:11" ht="13.5" customHeight="1">
      <c r="A2022"/>
      <c r="B2022"/>
      <c r="C2022"/>
      <c r="D2022"/>
      <c r="E2022"/>
      <c r="F2022" s="255"/>
      <c r="G2022" s="255"/>
      <c r="H2022" s="255"/>
      <c r="I2022" s="255"/>
      <c r="J2022" s="255"/>
      <c r="K2022" s="255"/>
    </row>
    <row r="2023" spans="1:11" ht="13.5" customHeight="1">
      <c r="A2023"/>
      <c r="B2023"/>
      <c r="C2023"/>
      <c r="D2023"/>
      <c r="E2023"/>
      <c r="F2023" s="255"/>
      <c r="G2023" s="255"/>
      <c r="H2023" s="255"/>
      <c r="I2023" s="255"/>
      <c r="J2023" s="255"/>
      <c r="K2023" s="255"/>
    </row>
    <row r="2024" spans="1:11" ht="13.5" customHeight="1">
      <c r="A2024"/>
      <c r="B2024"/>
      <c r="C2024"/>
      <c r="D2024"/>
      <c r="E2024"/>
      <c r="F2024" s="255"/>
      <c r="G2024" s="255"/>
      <c r="H2024" s="255"/>
      <c r="I2024" s="255"/>
      <c r="J2024" s="255"/>
      <c r="K2024" s="255"/>
    </row>
    <row r="2025" spans="1:11" ht="13.5" customHeight="1">
      <c r="A2025"/>
      <c r="B2025"/>
      <c r="C2025"/>
      <c r="D2025"/>
      <c r="E2025"/>
      <c r="F2025" s="255"/>
      <c r="G2025" s="255"/>
      <c r="H2025" s="255"/>
      <c r="I2025" s="255"/>
      <c r="J2025" s="255"/>
      <c r="K2025" s="255"/>
    </row>
    <row r="2026" spans="1:11" ht="13.5" customHeight="1">
      <c r="A2026"/>
      <c r="B2026"/>
      <c r="C2026"/>
      <c r="D2026"/>
      <c r="E2026"/>
      <c r="F2026" s="255"/>
      <c r="G2026" s="255"/>
      <c r="H2026" s="255"/>
      <c r="I2026" s="255"/>
      <c r="J2026" s="255"/>
      <c r="K2026" s="255"/>
    </row>
    <row r="2027" spans="1:11" ht="13.5" customHeight="1">
      <c r="A2027"/>
      <c r="B2027"/>
      <c r="C2027"/>
      <c r="D2027"/>
      <c r="E2027"/>
      <c r="F2027" s="255"/>
      <c r="G2027" s="255"/>
      <c r="H2027" s="255"/>
      <c r="I2027" s="255"/>
      <c r="J2027" s="255"/>
      <c r="K2027" s="255"/>
    </row>
    <row r="2028" spans="1:11" ht="13.5" customHeight="1">
      <c r="A2028"/>
      <c r="B2028"/>
      <c r="C2028"/>
      <c r="D2028"/>
      <c r="E2028"/>
      <c r="F2028" s="255"/>
      <c r="G2028" s="255"/>
      <c r="H2028" s="255"/>
      <c r="I2028" s="255"/>
      <c r="J2028" s="255"/>
      <c r="K2028" s="255"/>
    </row>
    <row r="2029" spans="1:11" ht="13.5" customHeight="1">
      <c r="A2029"/>
      <c r="B2029"/>
      <c r="C2029"/>
      <c r="D2029"/>
      <c r="E2029"/>
      <c r="F2029" s="255"/>
      <c r="G2029" s="255"/>
      <c r="H2029" s="255"/>
      <c r="I2029" s="255"/>
      <c r="J2029" s="255"/>
      <c r="K2029" s="255"/>
    </row>
    <row r="2030" spans="1:11" ht="13.5" customHeight="1">
      <c r="A2030"/>
      <c r="B2030"/>
      <c r="C2030"/>
      <c r="D2030"/>
      <c r="E2030"/>
      <c r="F2030" s="255"/>
      <c r="G2030" s="255"/>
      <c r="H2030" s="255"/>
      <c r="I2030" s="255"/>
      <c r="J2030" s="255"/>
      <c r="K2030" s="255"/>
    </row>
    <row r="2031" spans="1:11" ht="13.5" customHeight="1">
      <c r="A2031"/>
      <c r="B2031"/>
      <c r="C2031"/>
      <c r="D2031"/>
      <c r="E2031"/>
      <c r="F2031" s="255"/>
      <c r="G2031" s="255"/>
      <c r="H2031" s="255"/>
      <c r="I2031" s="255"/>
      <c r="J2031" s="255"/>
      <c r="K2031" s="255"/>
    </row>
    <row r="2032" spans="1:11" ht="13.5" customHeight="1">
      <c r="A2032"/>
      <c r="B2032"/>
      <c r="C2032"/>
      <c r="D2032"/>
      <c r="E2032"/>
      <c r="F2032" s="255"/>
      <c r="G2032" s="255"/>
      <c r="H2032" s="255"/>
      <c r="I2032" s="255"/>
      <c r="J2032" s="255"/>
      <c r="K2032" s="255"/>
    </row>
    <row r="2033" spans="1:11" ht="13.5" customHeight="1">
      <c r="A2033"/>
      <c r="B2033"/>
      <c r="C2033"/>
      <c r="D2033"/>
      <c r="E2033"/>
      <c r="F2033" s="255"/>
      <c r="G2033" s="255"/>
      <c r="H2033" s="255"/>
      <c r="I2033" s="255"/>
      <c r="J2033" s="255"/>
      <c r="K2033" s="255"/>
    </row>
    <row r="2034" spans="1:11" ht="13.5" customHeight="1">
      <c r="A2034"/>
      <c r="B2034"/>
      <c r="C2034"/>
      <c r="D2034"/>
      <c r="E2034"/>
      <c r="F2034" s="255"/>
      <c r="G2034" s="255"/>
      <c r="H2034" s="255"/>
      <c r="I2034" s="255"/>
      <c r="J2034" s="255"/>
      <c r="K2034" s="255"/>
    </row>
    <row r="2035" spans="1:11" ht="13.5" customHeight="1">
      <c r="A2035"/>
      <c r="B2035"/>
      <c r="C2035"/>
      <c r="D2035"/>
      <c r="E2035"/>
      <c r="F2035" s="255"/>
      <c r="G2035" s="255"/>
      <c r="H2035" s="255"/>
      <c r="I2035" s="255"/>
      <c r="J2035" s="255"/>
      <c r="K2035" s="255"/>
    </row>
    <row r="2036" spans="1:11" ht="13.5" customHeight="1">
      <c r="A2036"/>
      <c r="B2036"/>
      <c r="C2036"/>
      <c r="D2036"/>
      <c r="E2036"/>
      <c r="F2036" s="255"/>
      <c r="G2036" s="255"/>
      <c r="H2036" s="255"/>
      <c r="I2036" s="255"/>
      <c r="J2036" s="255"/>
      <c r="K2036" s="255"/>
    </row>
    <row r="2037" spans="1:11" ht="13.5" customHeight="1">
      <c r="A2037"/>
      <c r="B2037"/>
      <c r="C2037"/>
      <c r="D2037"/>
      <c r="E2037"/>
      <c r="F2037" s="255"/>
      <c r="G2037" s="255"/>
      <c r="H2037" s="255"/>
      <c r="I2037" s="255"/>
      <c r="J2037" s="255"/>
      <c r="K2037" s="255"/>
    </row>
    <row r="2038" spans="1:11" ht="13.5" customHeight="1">
      <c r="A2038"/>
      <c r="B2038"/>
      <c r="C2038"/>
      <c r="D2038"/>
      <c r="E2038"/>
      <c r="F2038" s="255"/>
      <c r="G2038" s="255"/>
      <c r="H2038" s="255"/>
      <c r="I2038" s="255"/>
      <c r="J2038" s="255"/>
      <c r="K2038" s="255"/>
    </row>
    <row r="2039" spans="1:11" ht="13.5" customHeight="1">
      <c r="A2039"/>
      <c r="B2039"/>
      <c r="C2039"/>
      <c r="D2039"/>
      <c r="E2039"/>
      <c r="F2039" s="255"/>
      <c r="G2039" s="255"/>
      <c r="H2039" s="255"/>
      <c r="I2039" s="255"/>
      <c r="J2039" s="255"/>
      <c r="K2039" s="255"/>
    </row>
    <row r="2040" spans="1:11" ht="13.5" customHeight="1">
      <c r="A2040"/>
      <c r="B2040"/>
      <c r="C2040"/>
      <c r="D2040"/>
      <c r="E2040"/>
      <c r="F2040" s="255"/>
      <c r="G2040" s="255"/>
      <c r="H2040" s="255"/>
      <c r="I2040" s="255"/>
      <c r="J2040" s="255"/>
      <c r="K2040" s="255"/>
    </row>
    <row r="2041" spans="1:11" ht="13.5" customHeight="1">
      <c r="A2041"/>
      <c r="B2041"/>
      <c r="C2041"/>
      <c r="D2041"/>
      <c r="E2041"/>
      <c r="F2041" s="255"/>
      <c r="G2041" s="255"/>
      <c r="H2041" s="255"/>
      <c r="I2041" s="255"/>
      <c r="J2041" s="255"/>
      <c r="K2041" s="255"/>
    </row>
    <row r="2042" spans="1:11" ht="13.5" customHeight="1">
      <c r="A2042"/>
      <c r="B2042"/>
      <c r="C2042"/>
      <c r="D2042"/>
      <c r="E2042"/>
      <c r="F2042" s="255"/>
      <c r="G2042" s="255"/>
      <c r="H2042" s="255"/>
      <c r="I2042" s="255"/>
      <c r="J2042" s="255"/>
      <c r="K2042" s="255"/>
    </row>
    <row r="2043" spans="1:11" ht="13.5" customHeight="1">
      <c r="A2043"/>
      <c r="B2043"/>
      <c r="C2043"/>
      <c r="D2043"/>
      <c r="E2043"/>
      <c r="F2043" s="255"/>
      <c r="G2043" s="255"/>
      <c r="H2043" s="255"/>
      <c r="I2043" s="255"/>
      <c r="J2043" s="255"/>
      <c r="K2043" s="255"/>
    </row>
    <row r="2044" spans="1:11" ht="13.5" customHeight="1">
      <c r="A2044"/>
      <c r="B2044"/>
      <c r="C2044"/>
      <c r="D2044"/>
      <c r="E2044"/>
      <c r="F2044" s="255"/>
      <c r="G2044" s="255"/>
      <c r="H2044" s="255"/>
      <c r="I2044" s="255"/>
      <c r="J2044" s="255"/>
      <c r="K2044" s="255"/>
    </row>
    <row r="2045" spans="1:11" ht="13.5" customHeight="1">
      <c r="A2045"/>
      <c r="B2045"/>
      <c r="C2045"/>
      <c r="D2045"/>
      <c r="E2045"/>
      <c r="F2045" s="255"/>
      <c r="G2045" s="255"/>
      <c r="H2045" s="255"/>
      <c r="I2045" s="255"/>
      <c r="J2045" s="255"/>
      <c r="K2045" s="255"/>
    </row>
    <row r="2046" spans="1:11" ht="13.5" customHeight="1">
      <c r="A2046"/>
      <c r="B2046"/>
      <c r="C2046"/>
      <c r="D2046"/>
      <c r="E2046"/>
      <c r="F2046" s="255"/>
      <c r="G2046" s="255"/>
      <c r="H2046" s="255"/>
      <c r="I2046" s="255"/>
      <c r="J2046" s="255"/>
      <c r="K2046" s="255"/>
    </row>
    <row r="2047" spans="1:11" ht="13.5" customHeight="1">
      <c r="A2047"/>
      <c r="B2047"/>
      <c r="C2047"/>
      <c r="D2047"/>
      <c r="E2047"/>
      <c r="F2047" s="255"/>
      <c r="G2047" s="255"/>
      <c r="H2047" s="255"/>
      <c r="I2047" s="255"/>
      <c r="J2047" s="255"/>
      <c r="K2047" s="255"/>
    </row>
    <row r="2048" spans="1:11" ht="13.5" customHeight="1">
      <c r="A2048"/>
      <c r="B2048"/>
      <c r="C2048"/>
      <c r="D2048"/>
      <c r="E2048"/>
      <c r="F2048" s="255"/>
      <c r="G2048" s="255"/>
      <c r="H2048" s="255"/>
      <c r="I2048" s="255"/>
      <c r="J2048" s="255"/>
      <c r="K2048" s="255"/>
    </row>
    <row r="2049" spans="1:11" ht="13.5" customHeight="1">
      <c r="A2049"/>
      <c r="B2049"/>
      <c r="C2049"/>
      <c r="D2049"/>
      <c r="E2049"/>
      <c r="F2049" s="255"/>
      <c r="G2049" s="255"/>
      <c r="H2049" s="255"/>
      <c r="I2049" s="255"/>
      <c r="J2049" s="255"/>
      <c r="K2049" s="255"/>
    </row>
    <row r="2050" spans="1:11" ht="13.5" customHeight="1">
      <c r="A2050"/>
      <c r="B2050"/>
      <c r="C2050"/>
      <c r="D2050"/>
      <c r="E2050"/>
      <c r="F2050" s="255"/>
      <c r="G2050" s="255"/>
      <c r="H2050" s="255"/>
      <c r="I2050" s="255"/>
      <c r="J2050" s="255"/>
      <c r="K2050" s="255"/>
    </row>
    <row r="2051" spans="1:11" ht="13.5" customHeight="1">
      <c r="A2051"/>
      <c r="B2051"/>
      <c r="C2051"/>
      <c r="D2051"/>
      <c r="E2051"/>
      <c r="F2051" s="255"/>
      <c r="G2051" s="255"/>
      <c r="H2051" s="255"/>
      <c r="I2051" s="255"/>
      <c r="J2051" s="255"/>
      <c r="K2051" s="255"/>
    </row>
    <row r="2052" spans="1:11" ht="13.5" customHeight="1">
      <c r="A2052"/>
      <c r="B2052"/>
      <c r="C2052"/>
      <c r="D2052"/>
      <c r="E2052"/>
      <c r="F2052" s="255"/>
      <c r="G2052" s="255"/>
      <c r="H2052" s="255"/>
      <c r="I2052" s="255"/>
      <c r="J2052" s="255"/>
      <c r="K2052" s="255"/>
    </row>
    <row r="2053" spans="1:11" ht="13.5" customHeight="1">
      <c r="A2053"/>
      <c r="B2053"/>
      <c r="C2053"/>
      <c r="D2053"/>
      <c r="E2053"/>
      <c r="F2053" s="255"/>
      <c r="G2053" s="255"/>
      <c r="H2053" s="255"/>
      <c r="I2053" s="255"/>
      <c r="J2053" s="255"/>
      <c r="K2053" s="255"/>
    </row>
    <row r="2054" spans="1:11" ht="13.5" customHeight="1">
      <c r="A2054"/>
      <c r="B2054"/>
      <c r="C2054"/>
      <c r="D2054"/>
      <c r="E2054"/>
      <c r="F2054" s="255"/>
      <c r="G2054" s="255"/>
      <c r="H2054" s="255"/>
      <c r="I2054" s="255"/>
      <c r="J2054" s="255"/>
      <c r="K2054" s="255"/>
    </row>
    <row r="2055" spans="1:11" ht="13.5" customHeight="1">
      <c r="A2055"/>
      <c r="B2055"/>
      <c r="C2055"/>
      <c r="D2055"/>
      <c r="E2055"/>
      <c r="F2055" s="255"/>
      <c r="G2055" s="255"/>
      <c r="H2055" s="255"/>
      <c r="I2055" s="255"/>
      <c r="J2055" s="255"/>
      <c r="K2055" s="255"/>
    </row>
    <row r="2056" spans="1:11" ht="13.5" customHeight="1">
      <c r="A2056"/>
      <c r="B2056"/>
      <c r="C2056"/>
      <c r="D2056"/>
      <c r="E2056"/>
      <c r="F2056" s="255"/>
      <c r="G2056" s="255"/>
      <c r="H2056" s="255"/>
      <c r="I2056" s="255"/>
      <c r="J2056" s="255"/>
      <c r="K2056" s="255"/>
    </row>
    <row r="2057" spans="1:11" ht="13.5" customHeight="1">
      <c r="A2057"/>
      <c r="B2057"/>
      <c r="C2057"/>
      <c r="D2057"/>
      <c r="E2057"/>
      <c r="F2057" s="255"/>
      <c r="G2057" s="255"/>
      <c r="H2057" s="255"/>
      <c r="I2057" s="255"/>
      <c r="J2057" s="255"/>
      <c r="K2057" s="255"/>
    </row>
    <row r="2058" spans="1:11" ht="13.5" customHeight="1">
      <c r="A2058"/>
      <c r="B2058"/>
      <c r="C2058"/>
      <c r="D2058"/>
      <c r="E2058"/>
      <c r="F2058" s="255"/>
      <c r="G2058" s="255"/>
      <c r="H2058" s="255"/>
      <c r="I2058" s="255"/>
      <c r="J2058" s="255"/>
      <c r="K2058" s="255"/>
    </row>
    <row r="2059" spans="1:11" ht="13.5" customHeight="1">
      <c r="A2059"/>
      <c r="B2059"/>
      <c r="C2059"/>
      <c r="D2059"/>
      <c r="E2059"/>
      <c r="F2059" s="255"/>
      <c r="G2059" s="255"/>
      <c r="H2059" s="255"/>
      <c r="I2059" s="255"/>
      <c r="J2059" s="255"/>
      <c r="K2059" s="255"/>
    </row>
    <row r="2060" spans="1:11" ht="13.5" customHeight="1">
      <c r="A2060"/>
      <c r="B2060"/>
      <c r="C2060"/>
      <c r="D2060"/>
      <c r="E2060"/>
      <c r="F2060" s="255"/>
      <c r="G2060" s="255"/>
      <c r="H2060" s="255"/>
      <c r="I2060" s="255"/>
      <c r="J2060" s="255"/>
      <c r="K2060" s="255"/>
    </row>
    <row r="2061" spans="1:11" ht="13.5" customHeight="1">
      <c r="A2061"/>
      <c r="B2061"/>
      <c r="C2061"/>
      <c r="D2061"/>
      <c r="E2061"/>
      <c r="F2061" s="255"/>
      <c r="G2061" s="255"/>
      <c r="H2061" s="255"/>
      <c r="I2061" s="255"/>
      <c r="J2061" s="255"/>
      <c r="K2061" s="255"/>
    </row>
    <row r="2062" spans="1:11" ht="13.5" customHeight="1">
      <c r="A2062"/>
      <c r="B2062"/>
      <c r="C2062"/>
      <c r="D2062"/>
      <c r="E2062"/>
      <c r="F2062" s="255"/>
      <c r="G2062" s="255"/>
      <c r="H2062" s="255"/>
      <c r="I2062" s="255"/>
      <c r="J2062" s="255"/>
      <c r="K2062" s="255"/>
    </row>
    <row r="2063" spans="1:11" ht="13.5" customHeight="1">
      <c r="A2063"/>
      <c r="B2063"/>
      <c r="C2063"/>
      <c r="D2063"/>
      <c r="E2063"/>
      <c r="F2063" s="255"/>
      <c r="G2063" s="255"/>
      <c r="H2063" s="255"/>
      <c r="I2063" s="255"/>
      <c r="J2063" s="255"/>
      <c r="K2063" s="255"/>
    </row>
    <row r="2064" spans="1:11" ht="13.5" customHeight="1">
      <c r="A2064"/>
      <c r="B2064"/>
      <c r="C2064"/>
      <c r="D2064"/>
      <c r="E2064"/>
      <c r="F2064" s="255"/>
      <c r="G2064" s="255"/>
      <c r="H2064" s="255"/>
      <c r="I2064" s="255"/>
      <c r="J2064" s="255"/>
      <c r="K2064" s="255"/>
    </row>
    <row r="2065" spans="1:11" ht="13.5" customHeight="1">
      <c r="A2065"/>
      <c r="B2065"/>
      <c r="C2065"/>
      <c r="D2065"/>
      <c r="E2065"/>
      <c r="F2065" s="255"/>
      <c r="G2065" s="255"/>
      <c r="H2065" s="255"/>
      <c r="I2065" s="255"/>
      <c r="J2065" s="255"/>
      <c r="K2065" s="255"/>
    </row>
    <row r="2066" spans="1:11" ht="13.5" customHeight="1">
      <c r="A2066"/>
      <c r="B2066"/>
      <c r="C2066"/>
      <c r="D2066"/>
      <c r="E2066"/>
      <c r="F2066" s="255"/>
      <c r="G2066" s="255"/>
      <c r="H2066" s="255"/>
      <c r="I2066" s="255"/>
      <c r="J2066" s="255"/>
      <c r="K2066" s="255"/>
    </row>
    <row r="2067" spans="1:11" ht="13.5" customHeight="1">
      <c r="A2067"/>
      <c r="B2067"/>
      <c r="C2067"/>
      <c r="D2067"/>
      <c r="E2067"/>
      <c r="F2067" s="255"/>
      <c r="G2067" s="255"/>
      <c r="H2067" s="255"/>
      <c r="I2067" s="255"/>
      <c r="J2067" s="255"/>
      <c r="K2067" s="255"/>
    </row>
    <row r="2068" spans="1:11" ht="13.5" customHeight="1">
      <c r="A2068"/>
      <c r="B2068"/>
      <c r="C2068"/>
      <c r="D2068"/>
      <c r="E2068"/>
      <c r="F2068" s="255"/>
      <c r="G2068" s="255"/>
      <c r="H2068" s="255"/>
      <c r="I2068" s="255"/>
      <c r="J2068" s="255"/>
      <c r="K2068" s="255"/>
    </row>
    <row r="2069" spans="1:11" ht="13.5" customHeight="1">
      <c r="A2069"/>
      <c r="B2069"/>
      <c r="C2069"/>
      <c r="D2069"/>
      <c r="E2069"/>
      <c r="F2069" s="255"/>
      <c r="G2069" s="255"/>
      <c r="H2069" s="255"/>
      <c r="I2069" s="255"/>
      <c r="J2069" s="255"/>
      <c r="K2069" s="255"/>
    </row>
    <row r="2070" spans="1:11" ht="13.5" customHeight="1">
      <c r="A2070"/>
      <c r="B2070"/>
      <c r="C2070"/>
      <c r="D2070"/>
      <c r="E2070"/>
      <c r="F2070" s="255"/>
      <c r="G2070" s="255"/>
      <c r="H2070" s="255"/>
      <c r="I2070" s="255"/>
      <c r="J2070" s="255"/>
      <c r="K2070" s="255"/>
    </row>
    <row r="2071" spans="1:11" ht="13.5" customHeight="1">
      <c r="A2071"/>
      <c r="B2071"/>
      <c r="C2071"/>
      <c r="D2071"/>
      <c r="E2071"/>
      <c r="F2071" s="255"/>
      <c r="G2071" s="255"/>
      <c r="H2071" s="255"/>
      <c r="I2071" s="255"/>
      <c r="J2071" s="255"/>
      <c r="K2071" s="255"/>
    </row>
    <row r="2072" spans="1:11" ht="13.5" customHeight="1">
      <c r="A2072"/>
      <c r="B2072"/>
      <c r="C2072"/>
      <c r="D2072"/>
      <c r="E2072"/>
      <c r="F2072" s="255"/>
      <c r="G2072" s="255"/>
      <c r="H2072" s="255"/>
      <c r="I2072" s="255"/>
      <c r="J2072" s="255"/>
      <c r="K2072" s="255"/>
    </row>
    <row r="2073" spans="1:11" ht="13.5" customHeight="1">
      <c r="A2073"/>
      <c r="B2073"/>
      <c r="C2073"/>
      <c r="D2073"/>
      <c r="E2073"/>
      <c r="F2073" s="255"/>
      <c r="G2073" s="255"/>
      <c r="H2073" s="255"/>
      <c r="I2073" s="255"/>
      <c r="J2073" s="255"/>
      <c r="K2073" s="255"/>
    </row>
    <row r="2074" spans="1:11" ht="13.5" customHeight="1">
      <c r="A2074"/>
      <c r="B2074"/>
      <c r="C2074"/>
      <c r="D2074"/>
      <c r="E2074"/>
      <c r="F2074" s="255"/>
      <c r="G2074" s="255"/>
      <c r="H2074" s="255"/>
      <c r="I2074" s="255"/>
      <c r="J2074" s="255"/>
      <c r="K2074" s="255"/>
    </row>
    <row r="2075" spans="1:11" ht="13.5" customHeight="1">
      <c r="A2075"/>
      <c r="B2075"/>
      <c r="C2075"/>
      <c r="D2075"/>
      <c r="E2075"/>
      <c r="F2075" s="255"/>
      <c r="G2075" s="255"/>
      <c r="H2075" s="255"/>
      <c r="I2075" s="255"/>
      <c r="J2075" s="255"/>
      <c r="K2075" s="255"/>
    </row>
    <row r="2076" spans="1:11" ht="13.5" customHeight="1">
      <c r="A2076"/>
      <c r="B2076"/>
      <c r="C2076"/>
      <c r="D2076"/>
      <c r="E2076"/>
      <c r="F2076" s="255"/>
      <c r="G2076" s="255"/>
      <c r="H2076" s="255"/>
      <c r="I2076" s="255"/>
      <c r="J2076" s="255"/>
      <c r="K2076" s="255"/>
    </row>
    <row r="2077" spans="1:11" ht="13.5" customHeight="1">
      <c r="A2077"/>
      <c r="B2077"/>
      <c r="C2077"/>
      <c r="D2077"/>
      <c r="E2077"/>
      <c r="F2077" s="255"/>
      <c r="G2077" s="255"/>
      <c r="H2077" s="255"/>
      <c r="I2077" s="255"/>
      <c r="J2077" s="255"/>
      <c r="K2077" s="255"/>
    </row>
    <row r="2078" spans="1:11" ht="13.5" customHeight="1">
      <c r="A2078"/>
      <c r="B2078"/>
      <c r="C2078"/>
      <c r="D2078"/>
      <c r="E2078"/>
      <c r="F2078" s="255"/>
      <c r="G2078" s="255"/>
      <c r="H2078" s="255"/>
      <c r="I2078" s="255"/>
      <c r="J2078" s="255"/>
      <c r="K2078" s="255"/>
    </row>
    <row r="2079" spans="1:11" ht="13.5" customHeight="1">
      <c r="A2079"/>
      <c r="B2079"/>
      <c r="C2079"/>
      <c r="D2079"/>
      <c r="E2079"/>
      <c r="F2079" s="255"/>
      <c r="G2079" s="255"/>
      <c r="H2079" s="255"/>
      <c r="I2079" s="255"/>
      <c r="J2079" s="255"/>
      <c r="K2079" s="255"/>
    </row>
    <row r="2080" spans="1:11" ht="13.5" customHeight="1">
      <c r="A2080"/>
      <c r="B2080"/>
      <c r="C2080"/>
      <c r="D2080"/>
      <c r="E2080"/>
      <c r="F2080" s="255"/>
      <c r="G2080" s="255"/>
      <c r="H2080" s="255"/>
      <c r="I2080" s="255"/>
      <c r="J2080" s="255"/>
      <c r="K2080" s="255"/>
    </row>
    <row r="2081" spans="1:11" ht="13.5" customHeight="1">
      <c r="A2081"/>
      <c r="B2081"/>
      <c r="C2081"/>
      <c r="D2081"/>
      <c r="E2081"/>
      <c r="F2081" s="255"/>
      <c r="G2081" s="255"/>
      <c r="H2081" s="255"/>
      <c r="I2081" s="255"/>
      <c r="J2081" s="255"/>
      <c r="K2081" s="255"/>
    </row>
    <row r="2082" spans="1:11" ht="13.5" customHeight="1">
      <c r="A2082"/>
      <c r="B2082"/>
      <c r="C2082"/>
      <c r="D2082"/>
      <c r="E2082"/>
      <c r="F2082" s="255"/>
      <c r="G2082" s="255"/>
      <c r="H2082" s="255"/>
      <c r="I2082" s="255"/>
      <c r="J2082" s="255"/>
      <c r="K2082" s="255"/>
    </row>
    <row r="2083" spans="1:11" ht="13.5" customHeight="1">
      <c r="A2083"/>
      <c r="B2083"/>
      <c r="C2083"/>
      <c r="D2083"/>
      <c r="E2083"/>
      <c r="F2083" s="255"/>
      <c r="G2083" s="255"/>
      <c r="H2083" s="255"/>
      <c r="I2083" s="255"/>
      <c r="J2083" s="255"/>
      <c r="K2083" s="255"/>
    </row>
    <row r="2084" spans="1:11" ht="13.5" customHeight="1">
      <c r="A2084"/>
      <c r="B2084"/>
      <c r="C2084"/>
      <c r="D2084"/>
      <c r="E2084"/>
      <c r="F2084" s="255"/>
      <c r="G2084" s="255"/>
      <c r="H2084" s="255"/>
      <c r="I2084" s="255"/>
      <c r="J2084" s="255"/>
      <c r="K2084" s="255"/>
    </row>
    <row r="2085" spans="1:11" ht="13.5" customHeight="1">
      <c r="A2085"/>
      <c r="B2085"/>
      <c r="C2085"/>
      <c r="D2085"/>
      <c r="E2085"/>
      <c r="F2085" s="255"/>
      <c r="G2085" s="255"/>
      <c r="H2085" s="255"/>
      <c r="I2085" s="255"/>
      <c r="J2085" s="255"/>
      <c r="K2085" s="255"/>
    </row>
    <row r="2086" spans="1:11" ht="13.5" customHeight="1">
      <c r="A2086"/>
      <c r="B2086"/>
      <c r="C2086"/>
      <c r="D2086"/>
      <c r="E2086"/>
      <c r="F2086" s="255"/>
      <c r="G2086" s="255"/>
      <c r="H2086" s="255"/>
      <c r="I2086" s="255"/>
      <c r="J2086" s="255"/>
      <c r="K2086" s="255"/>
    </row>
    <row r="2087" spans="1:11" ht="13.5" customHeight="1">
      <c r="A2087"/>
      <c r="B2087"/>
      <c r="C2087"/>
      <c r="D2087"/>
      <c r="E2087"/>
      <c r="F2087" s="255"/>
      <c r="G2087" s="255"/>
      <c r="H2087" s="255"/>
      <c r="I2087" s="255"/>
      <c r="J2087" s="255"/>
      <c r="K2087" s="255"/>
    </row>
    <row r="2088" spans="1:11" ht="13.5" customHeight="1">
      <c r="A2088"/>
      <c r="B2088"/>
      <c r="C2088"/>
      <c r="D2088"/>
      <c r="E2088"/>
      <c r="F2088" s="255"/>
      <c r="G2088" s="255"/>
      <c r="H2088" s="255"/>
      <c r="I2088" s="255"/>
      <c r="J2088" s="255"/>
      <c r="K2088" s="255"/>
    </row>
    <row r="2089" spans="1:11" ht="13.5" customHeight="1">
      <c r="A2089"/>
      <c r="B2089"/>
      <c r="C2089"/>
      <c r="D2089"/>
      <c r="E2089"/>
      <c r="F2089" s="255"/>
      <c r="G2089" s="255"/>
      <c r="H2089" s="255"/>
      <c r="I2089" s="255"/>
      <c r="J2089" s="255"/>
      <c r="K2089" s="255"/>
    </row>
    <row r="2090" spans="1:11" ht="13.5" customHeight="1">
      <c r="A2090"/>
      <c r="B2090"/>
      <c r="C2090"/>
      <c r="D2090"/>
      <c r="E2090"/>
      <c r="F2090" s="255"/>
      <c r="G2090" s="255"/>
      <c r="H2090" s="255"/>
      <c r="I2090" s="255"/>
      <c r="J2090" s="255"/>
      <c r="K2090" s="255"/>
    </row>
    <row r="2091" spans="1:11" ht="13.5" customHeight="1">
      <c r="A2091"/>
      <c r="B2091"/>
      <c r="C2091"/>
      <c r="D2091"/>
      <c r="E2091"/>
      <c r="F2091" s="255"/>
      <c r="G2091" s="255"/>
      <c r="H2091" s="255"/>
      <c r="I2091" s="255"/>
      <c r="J2091" s="255"/>
      <c r="K2091" s="255"/>
    </row>
    <row r="2092" spans="1:11" ht="13.5" customHeight="1">
      <c r="A2092"/>
      <c r="B2092"/>
      <c r="C2092"/>
      <c r="D2092"/>
      <c r="E2092"/>
      <c r="F2092" s="255"/>
      <c r="G2092" s="255"/>
      <c r="H2092" s="255"/>
      <c r="I2092" s="255"/>
      <c r="J2092" s="255"/>
      <c r="K2092" s="255"/>
    </row>
    <row r="2093" spans="1:11" ht="13.5" customHeight="1">
      <c r="A2093"/>
      <c r="B2093"/>
      <c r="C2093"/>
      <c r="D2093"/>
      <c r="E2093"/>
      <c r="F2093" s="255"/>
      <c r="G2093" s="255"/>
      <c r="H2093" s="255"/>
      <c r="I2093" s="255"/>
      <c r="J2093" s="255"/>
      <c r="K2093" s="255"/>
    </row>
    <row r="2094" spans="1:11" ht="13.5" customHeight="1">
      <c r="A2094"/>
      <c r="B2094"/>
      <c r="C2094"/>
      <c r="D2094"/>
      <c r="E2094"/>
      <c r="F2094" s="255"/>
      <c r="G2094" s="255"/>
      <c r="H2094" s="255"/>
      <c r="I2094" s="255"/>
      <c r="J2094" s="255"/>
      <c r="K2094" s="255"/>
    </row>
    <row r="2095" spans="1:11" ht="13.5" customHeight="1">
      <c r="A2095"/>
      <c r="B2095"/>
      <c r="C2095"/>
      <c r="D2095"/>
      <c r="E2095"/>
      <c r="F2095" s="255"/>
      <c r="G2095" s="255"/>
      <c r="H2095" s="255"/>
      <c r="I2095" s="255"/>
      <c r="J2095" s="255"/>
      <c r="K2095" s="255"/>
    </row>
    <row r="2096" spans="1:11" ht="13.5" customHeight="1">
      <c r="A2096"/>
      <c r="B2096"/>
      <c r="C2096"/>
      <c r="D2096"/>
      <c r="E2096"/>
      <c r="F2096" s="255"/>
      <c r="G2096" s="255"/>
      <c r="H2096" s="255"/>
      <c r="I2096" s="255"/>
      <c r="J2096" s="255"/>
      <c r="K2096" s="255"/>
    </row>
    <row r="2097" spans="1:11" ht="13.5" customHeight="1">
      <c r="A2097"/>
      <c r="B2097"/>
      <c r="C2097"/>
      <c r="D2097"/>
      <c r="E2097"/>
      <c r="F2097" s="255"/>
      <c r="G2097" s="255"/>
      <c r="H2097" s="255"/>
      <c r="I2097" s="255"/>
      <c r="J2097" s="255"/>
      <c r="K2097" s="255"/>
    </row>
    <row r="2098" spans="1:11" ht="13.5" customHeight="1">
      <c r="A2098"/>
      <c r="B2098"/>
      <c r="C2098"/>
      <c r="D2098"/>
      <c r="E2098"/>
      <c r="F2098" s="255"/>
      <c r="G2098" s="255"/>
      <c r="H2098" s="255"/>
      <c r="I2098" s="255"/>
      <c r="J2098" s="255"/>
      <c r="K2098" s="255"/>
    </row>
    <row r="2099" spans="1:11" ht="13.5" customHeight="1">
      <c r="A2099"/>
      <c r="B2099"/>
      <c r="C2099"/>
      <c r="D2099"/>
      <c r="E2099"/>
      <c r="F2099" s="255"/>
      <c r="G2099" s="255"/>
      <c r="H2099" s="255"/>
      <c r="I2099" s="255"/>
      <c r="J2099" s="255"/>
      <c r="K2099" s="255"/>
    </row>
    <row r="2100" spans="1:11" ht="13.5" customHeight="1">
      <c r="A2100"/>
      <c r="B2100"/>
      <c r="C2100"/>
      <c r="D2100"/>
      <c r="E2100"/>
      <c r="F2100" s="255"/>
      <c r="G2100" s="255"/>
      <c r="H2100" s="255"/>
      <c r="I2100" s="255"/>
      <c r="J2100" s="255"/>
      <c r="K2100" s="255"/>
    </row>
    <row r="2101" spans="1:11" ht="13.5" customHeight="1">
      <c r="A2101"/>
      <c r="B2101"/>
      <c r="C2101"/>
      <c r="D2101"/>
      <c r="E2101"/>
      <c r="F2101" s="255"/>
      <c r="G2101" s="255"/>
      <c r="H2101" s="255"/>
      <c r="I2101" s="255"/>
      <c r="J2101" s="255"/>
      <c r="K2101" s="255"/>
    </row>
    <row r="2102" spans="1:11" ht="13.5" customHeight="1">
      <c r="A2102"/>
      <c r="B2102"/>
      <c r="C2102"/>
      <c r="D2102"/>
      <c r="E2102"/>
      <c r="F2102" s="255"/>
      <c r="G2102" s="255"/>
      <c r="H2102" s="255"/>
      <c r="I2102" s="255"/>
      <c r="J2102" s="255"/>
      <c r="K2102" s="255"/>
    </row>
    <row r="2103" spans="1:11" ht="13.5" customHeight="1">
      <c r="A2103"/>
      <c r="B2103"/>
      <c r="C2103"/>
      <c r="D2103"/>
      <c r="E2103"/>
      <c r="F2103" s="255"/>
      <c r="G2103" s="255"/>
      <c r="H2103" s="255"/>
      <c r="I2103" s="255"/>
      <c r="J2103" s="255"/>
      <c r="K2103" s="255"/>
    </row>
    <row r="2104" spans="1:11" ht="13.5" customHeight="1">
      <c r="A2104"/>
      <c r="B2104"/>
      <c r="C2104"/>
      <c r="D2104"/>
      <c r="E2104"/>
      <c r="F2104" s="255"/>
      <c r="G2104" s="255"/>
      <c r="H2104" s="255"/>
      <c r="I2104" s="255"/>
      <c r="J2104" s="255"/>
      <c r="K2104" s="255"/>
    </row>
    <row r="2105" spans="1:11" ht="13.5" customHeight="1">
      <c r="A2105"/>
      <c r="B2105"/>
      <c r="C2105"/>
      <c r="D2105"/>
      <c r="E2105"/>
      <c r="F2105" s="255"/>
      <c r="G2105" s="255"/>
      <c r="H2105" s="255"/>
      <c r="I2105" s="255"/>
      <c r="J2105" s="255"/>
      <c r="K2105" s="255"/>
    </row>
    <row r="2106" spans="1:11" ht="13.5" customHeight="1">
      <c r="A2106"/>
      <c r="B2106"/>
      <c r="C2106"/>
      <c r="D2106"/>
      <c r="E2106"/>
      <c r="F2106" s="255"/>
      <c r="G2106" s="255"/>
      <c r="H2106" s="255"/>
      <c r="I2106" s="255"/>
      <c r="J2106" s="255"/>
      <c r="K2106" s="255"/>
    </row>
    <row r="2107" spans="1:11" ht="13.5" customHeight="1">
      <c r="A2107"/>
      <c r="B2107"/>
      <c r="C2107"/>
      <c r="D2107"/>
      <c r="E2107"/>
      <c r="F2107" s="255"/>
      <c r="G2107" s="255"/>
      <c r="H2107" s="255"/>
      <c r="I2107" s="255"/>
      <c r="J2107" s="255"/>
      <c r="K2107" s="255"/>
    </row>
    <row r="2108" spans="1:11" ht="13.5" customHeight="1">
      <c r="A2108"/>
      <c r="B2108"/>
      <c r="C2108"/>
      <c r="D2108"/>
      <c r="E2108"/>
      <c r="F2108" s="255"/>
      <c r="G2108" s="255"/>
      <c r="H2108" s="255"/>
      <c r="I2108" s="255"/>
      <c r="J2108" s="255"/>
      <c r="K2108" s="255"/>
    </row>
    <row r="2109" spans="1:11" ht="13.5" customHeight="1">
      <c r="A2109"/>
      <c r="B2109"/>
      <c r="C2109"/>
      <c r="D2109"/>
      <c r="E2109"/>
      <c r="F2109" s="255"/>
      <c r="G2109" s="255"/>
      <c r="H2109" s="255"/>
      <c r="I2109" s="255"/>
      <c r="J2109" s="255"/>
      <c r="K2109" s="255"/>
    </row>
    <row r="2110" spans="1:11" ht="13.5" customHeight="1">
      <c r="A2110"/>
      <c r="B2110"/>
      <c r="C2110"/>
      <c r="D2110"/>
      <c r="E2110"/>
      <c r="F2110" s="255"/>
      <c r="G2110" s="255"/>
      <c r="H2110" s="255"/>
      <c r="I2110" s="255"/>
      <c r="J2110" s="255"/>
      <c r="K2110" s="255"/>
    </row>
    <row r="2111" spans="1:11" ht="13.5" customHeight="1">
      <c r="A2111"/>
      <c r="B2111"/>
      <c r="C2111"/>
      <c r="D2111"/>
      <c r="E2111"/>
      <c r="F2111" s="255"/>
      <c r="G2111" s="255"/>
      <c r="H2111" s="255"/>
      <c r="I2111" s="255"/>
      <c r="J2111" s="255"/>
      <c r="K2111" s="255"/>
    </row>
    <row r="2112" spans="1:11" ht="13.5" customHeight="1">
      <c r="A2112"/>
      <c r="B2112"/>
      <c r="C2112"/>
      <c r="D2112"/>
      <c r="E2112"/>
      <c r="F2112" s="255"/>
      <c r="G2112" s="255"/>
      <c r="H2112" s="255"/>
      <c r="I2112" s="255"/>
      <c r="J2112" s="255"/>
      <c r="K2112" s="255"/>
    </row>
    <row r="2113" spans="1:11" ht="13.5" customHeight="1">
      <c r="A2113"/>
      <c r="B2113"/>
      <c r="C2113"/>
      <c r="D2113"/>
      <c r="E2113"/>
      <c r="F2113" s="255"/>
      <c r="G2113" s="255"/>
      <c r="H2113" s="255"/>
      <c r="I2113" s="255"/>
      <c r="J2113" s="255"/>
      <c r="K2113" s="255"/>
    </row>
    <row r="2114" spans="1:11" ht="13.5" customHeight="1">
      <c r="A2114"/>
      <c r="B2114"/>
      <c r="C2114"/>
      <c r="D2114"/>
      <c r="E2114"/>
      <c r="F2114" s="255"/>
      <c r="G2114" s="255"/>
      <c r="H2114" s="255"/>
      <c r="I2114" s="255"/>
      <c r="J2114" s="255"/>
      <c r="K2114" s="255"/>
    </row>
    <row r="2115" spans="1:11" ht="13.5" customHeight="1">
      <c r="A2115"/>
      <c r="B2115"/>
      <c r="C2115"/>
      <c r="D2115"/>
      <c r="E2115"/>
      <c r="F2115" s="255"/>
      <c r="G2115" s="255"/>
      <c r="H2115" s="255"/>
      <c r="I2115" s="255"/>
      <c r="J2115" s="255"/>
      <c r="K2115" s="255"/>
    </row>
    <row r="2116" spans="1:11" ht="13.5" customHeight="1">
      <c r="A2116"/>
      <c r="B2116"/>
      <c r="C2116"/>
      <c r="D2116"/>
      <c r="E2116"/>
      <c r="F2116" s="255"/>
      <c r="G2116" s="255"/>
      <c r="H2116" s="255"/>
      <c r="I2116" s="255"/>
      <c r="J2116" s="255"/>
      <c r="K2116" s="255"/>
    </row>
    <row r="2117" spans="1:11" ht="13.5" customHeight="1">
      <c r="A2117"/>
      <c r="B2117"/>
      <c r="C2117"/>
      <c r="D2117"/>
      <c r="E2117"/>
      <c r="F2117" s="255"/>
      <c r="G2117" s="255"/>
      <c r="H2117" s="255"/>
      <c r="I2117" s="255"/>
      <c r="J2117" s="255"/>
      <c r="K2117" s="255"/>
    </row>
    <row r="2118" spans="1:11" ht="13.5" customHeight="1">
      <c r="A2118"/>
      <c r="B2118"/>
      <c r="C2118"/>
      <c r="D2118"/>
      <c r="E2118"/>
      <c r="F2118" s="255"/>
      <c r="G2118" s="255"/>
      <c r="H2118" s="255"/>
      <c r="I2118" s="255"/>
      <c r="J2118" s="255"/>
      <c r="K2118" s="255"/>
    </row>
    <row r="2119" spans="1:11" ht="13.5" customHeight="1">
      <c r="A2119"/>
      <c r="B2119"/>
      <c r="C2119"/>
      <c r="D2119"/>
      <c r="E2119"/>
      <c r="F2119" s="255"/>
      <c r="G2119" s="255"/>
      <c r="H2119" s="255"/>
      <c r="I2119" s="255"/>
      <c r="J2119" s="255"/>
      <c r="K2119" s="255"/>
    </row>
    <row r="2120" spans="1:11" ht="13.5" customHeight="1">
      <c r="A2120"/>
      <c r="B2120"/>
      <c r="C2120"/>
      <c r="D2120"/>
      <c r="E2120"/>
      <c r="F2120" s="255"/>
      <c r="G2120" s="255"/>
      <c r="H2120" s="255"/>
      <c r="I2120" s="255"/>
      <c r="J2120" s="255"/>
      <c r="K2120" s="255"/>
    </row>
    <row r="2121" spans="1:11" ht="13.5" customHeight="1">
      <c r="A2121"/>
      <c r="B2121"/>
      <c r="C2121"/>
      <c r="D2121"/>
      <c r="E2121"/>
      <c r="F2121" s="255"/>
      <c r="G2121" s="255"/>
      <c r="H2121" s="255"/>
      <c r="I2121" s="255"/>
      <c r="J2121" s="255"/>
      <c r="K2121" s="255"/>
    </row>
    <row r="2122" spans="1:11" ht="13.5" customHeight="1">
      <c r="A2122"/>
      <c r="B2122"/>
      <c r="C2122"/>
      <c r="D2122"/>
      <c r="E2122"/>
      <c r="F2122" s="255"/>
      <c r="G2122" s="255"/>
      <c r="H2122" s="255"/>
      <c r="I2122" s="255"/>
      <c r="J2122" s="255"/>
      <c r="K2122" s="255"/>
    </row>
    <row r="2123" spans="1:11" ht="13.5" customHeight="1">
      <c r="A2123"/>
      <c r="B2123"/>
      <c r="C2123"/>
      <c r="D2123"/>
      <c r="E2123"/>
      <c r="F2123" s="255"/>
      <c r="G2123" s="255"/>
      <c r="H2123" s="255"/>
      <c r="I2123" s="255"/>
      <c r="J2123" s="255"/>
      <c r="K2123" s="255"/>
    </row>
    <row r="2124" spans="1:11" ht="13.5" customHeight="1">
      <c r="A2124"/>
      <c r="B2124"/>
      <c r="C2124"/>
      <c r="D2124"/>
      <c r="E2124"/>
      <c r="F2124" s="255"/>
      <c r="G2124" s="255"/>
      <c r="H2124" s="255"/>
      <c r="I2124" s="255"/>
      <c r="J2124" s="255"/>
      <c r="K2124" s="255"/>
    </row>
    <row r="2125" spans="1:11" ht="13.5" customHeight="1">
      <c r="A2125"/>
      <c r="B2125"/>
      <c r="C2125"/>
      <c r="D2125"/>
      <c r="E2125"/>
      <c r="F2125" s="255"/>
      <c r="G2125" s="255"/>
      <c r="H2125" s="255"/>
      <c r="I2125" s="255"/>
      <c r="J2125" s="255"/>
      <c r="K2125" s="255"/>
    </row>
    <row r="2126" spans="1:11" ht="13.5" customHeight="1">
      <c r="A2126"/>
      <c r="B2126"/>
      <c r="C2126"/>
      <c r="D2126"/>
      <c r="E2126"/>
      <c r="F2126" s="255"/>
      <c r="G2126" s="255"/>
      <c r="H2126" s="255"/>
      <c r="I2126" s="255"/>
      <c r="J2126" s="255"/>
      <c r="K2126" s="255"/>
    </row>
    <row r="2127" spans="1:11" ht="13.5" customHeight="1">
      <c r="A2127"/>
      <c r="B2127"/>
      <c r="C2127"/>
      <c r="D2127"/>
      <c r="E2127"/>
      <c r="F2127" s="255"/>
      <c r="G2127" s="255"/>
      <c r="H2127" s="255"/>
      <c r="I2127" s="255"/>
      <c r="J2127" s="255"/>
      <c r="K2127" s="255"/>
    </row>
    <row r="2128" spans="1:11" ht="13.5" customHeight="1">
      <c r="A2128"/>
      <c r="B2128"/>
      <c r="C2128"/>
      <c r="D2128"/>
      <c r="E2128"/>
      <c r="F2128" s="255"/>
      <c r="G2128" s="255"/>
      <c r="H2128" s="255"/>
      <c r="I2128" s="255"/>
      <c r="J2128" s="255"/>
      <c r="K2128" s="255"/>
    </row>
    <row r="2129" spans="1:11" ht="13.5" customHeight="1">
      <c r="A2129"/>
      <c r="B2129"/>
      <c r="C2129"/>
      <c r="D2129"/>
      <c r="E2129"/>
      <c r="F2129" s="255"/>
      <c r="G2129" s="255"/>
      <c r="H2129" s="255"/>
      <c r="I2129" s="255"/>
      <c r="J2129" s="255"/>
      <c r="K2129" s="255"/>
    </row>
    <row r="2130" spans="1:11" ht="13.5" customHeight="1">
      <c r="A2130"/>
      <c r="B2130"/>
      <c r="C2130"/>
      <c r="D2130"/>
      <c r="E2130"/>
      <c r="F2130" s="255"/>
      <c r="G2130" s="255"/>
      <c r="H2130" s="255"/>
      <c r="I2130" s="255"/>
      <c r="J2130" s="255"/>
      <c r="K2130" s="255"/>
    </row>
    <row r="2131" spans="1:11" ht="13.5" customHeight="1">
      <c r="A2131"/>
      <c r="B2131"/>
      <c r="C2131"/>
      <c r="D2131"/>
      <c r="E2131"/>
      <c r="F2131" s="255"/>
      <c r="G2131" s="255"/>
      <c r="H2131" s="255"/>
      <c r="I2131" s="255"/>
      <c r="J2131" s="255"/>
      <c r="K2131" s="255"/>
    </row>
    <row r="2132" spans="1:11" ht="13.5" customHeight="1">
      <c r="A2132"/>
      <c r="B2132"/>
      <c r="C2132"/>
      <c r="D2132"/>
      <c r="E2132"/>
      <c r="F2132" s="255"/>
      <c r="G2132" s="255"/>
      <c r="H2132" s="255"/>
      <c r="I2132" s="255"/>
      <c r="J2132" s="255"/>
      <c r="K2132" s="255"/>
    </row>
    <row r="2133" spans="1:11" ht="13.5" customHeight="1">
      <c r="A2133"/>
      <c r="B2133"/>
      <c r="C2133"/>
      <c r="D2133"/>
      <c r="E2133"/>
      <c r="F2133" s="255"/>
      <c r="G2133" s="255"/>
      <c r="H2133" s="255"/>
      <c r="I2133" s="255"/>
      <c r="J2133" s="255"/>
      <c r="K2133" s="255"/>
    </row>
    <row r="2134" spans="1:11" ht="13.5" customHeight="1">
      <c r="A2134"/>
      <c r="B2134"/>
      <c r="C2134"/>
      <c r="D2134"/>
      <c r="E2134"/>
      <c r="F2134" s="255"/>
      <c r="G2134" s="255"/>
      <c r="H2134" s="255"/>
      <c r="I2134" s="255"/>
      <c r="J2134" s="255"/>
      <c r="K2134" s="255"/>
    </row>
    <row r="2135" spans="1:11" ht="13.5" customHeight="1">
      <c r="A2135"/>
      <c r="B2135"/>
      <c r="C2135"/>
      <c r="D2135"/>
      <c r="E2135"/>
      <c r="F2135" s="255"/>
      <c r="G2135" s="255"/>
      <c r="H2135" s="255"/>
      <c r="I2135" s="255"/>
      <c r="J2135" s="255"/>
      <c r="K2135" s="255"/>
    </row>
    <row r="2136" spans="1:11" ht="13.5" customHeight="1">
      <c r="A2136"/>
      <c r="B2136"/>
      <c r="C2136"/>
      <c r="D2136"/>
      <c r="E2136"/>
      <c r="F2136" s="255"/>
      <c r="G2136" s="255"/>
      <c r="H2136" s="255"/>
      <c r="I2136" s="255"/>
      <c r="J2136" s="255"/>
      <c r="K2136" s="255"/>
    </row>
    <row r="2137" spans="1:11" ht="13.5" customHeight="1">
      <c r="A2137"/>
      <c r="B2137"/>
      <c r="C2137"/>
      <c r="D2137"/>
      <c r="E2137"/>
      <c r="F2137" s="255"/>
      <c r="G2137" s="255"/>
      <c r="H2137" s="255"/>
      <c r="I2137" s="255"/>
      <c r="J2137" s="255"/>
      <c r="K2137" s="255"/>
    </row>
    <row r="2138" spans="1:11" ht="13.5" customHeight="1">
      <c r="A2138"/>
      <c r="B2138"/>
      <c r="C2138"/>
      <c r="D2138"/>
      <c r="E2138"/>
      <c r="F2138" s="255"/>
      <c r="G2138" s="255"/>
      <c r="H2138" s="255"/>
      <c r="I2138" s="255"/>
      <c r="J2138" s="255"/>
      <c r="K2138" s="255"/>
    </row>
    <row r="2139" spans="1:11" ht="13.5" customHeight="1">
      <c r="A2139"/>
      <c r="B2139"/>
      <c r="C2139"/>
      <c r="D2139"/>
      <c r="E2139"/>
      <c r="F2139" s="255"/>
      <c r="G2139" s="255"/>
      <c r="H2139" s="255"/>
      <c r="I2139" s="255"/>
      <c r="J2139" s="255"/>
      <c r="K2139" s="255"/>
    </row>
    <row r="2140" spans="1:11" ht="13.5" customHeight="1">
      <c r="A2140"/>
      <c r="B2140"/>
      <c r="C2140"/>
      <c r="D2140"/>
      <c r="E2140"/>
      <c r="F2140" s="255"/>
      <c r="G2140" s="255"/>
      <c r="H2140" s="255"/>
      <c r="I2140" s="255"/>
      <c r="J2140" s="255"/>
      <c r="K2140" s="255"/>
    </row>
    <row r="2141" spans="1:11" ht="13.5" customHeight="1">
      <c r="A2141"/>
      <c r="B2141"/>
      <c r="C2141"/>
      <c r="D2141"/>
      <c r="E2141"/>
      <c r="F2141" s="255"/>
      <c r="G2141" s="255"/>
      <c r="H2141" s="255"/>
      <c r="I2141" s="255"/>
      <c r="J2141" s="255"/>
      <c r="K2141" s="255"/>
    </row>
    <row r="2142" spans="1:11" ht="13.5" customHeight="1">
      <c r="A2142"/>
      <c r="B2142"/>
      <c r="C2142"/>
      <c r="D2142"/>
      <c r="E2142"/>
      <c r="F2142" s="255"/>
      <c r="G2142" s="255"/>
      <c r="H2142" s="255"/>
      <c r="I2142" s="255"/>
      <c r="J2142" s="255"/>
      <c r="K2142" s="255"/>
    </row>
    <row r="2143" spans="1:11" ht="13.5" customHeight="1">
      <c r="A2143"/>
      <c r="B2143"/>
      <c r="C2143"/>
      <c r="D2143"/>
      <c r="E2143"/>
      <c r="F2143" s="255"/>
      <c r="G2143" s="255"/>
      <c r="H2143" s="255"/>
      <c r="I2143" s="255"/>
      <c r="J2143" s="255"/>
      <c r="K2143" s="255"/>
    </row>
    <row r="2144" spans="1:11" ht="13.5" customHeight="1">
      <c r="A2144"/>
      <c r="B2144"/>
      <c r="C2144"/>
      <c r="D2144"/>
      <c r="E2144"/>
      <c r="F2144" s="255"/>
      <c r="G2144" s="255"/>
      <c r="H2144" s="255"/>
      <c r="I2144" s="255"/>
      <c r="J2144" s="255"/>
      <c r="K2144" s="255"/>
    </row>
    <row r="2145" spans="1:11" ht="13.5" customHeight="1">
      <c r="A2145"/>
      <c r="B2145"/>
      <c r="C2145"/>
      <c r="D2145"/>
      <c r="E2145"/>
      <c r="F2145" s="255"/>
      <c r="G2145" s="255"/>
      <c r="H2145" s="255"/>
      <c r="I2145" s="255"/>
      <c r="J2145" s="255"/>
      <c r="K2145" s="255"/>
    </row>
    <row r="2146" spans="1:11" ht="13.5" customHeight="1">
      <c r="A2146"/>
      <c r="B2146"/>
      <c r="C2146"/>
      <c r="D2146"/>
      <c r="E2146"/>
      <c r="F2146" s="255"/>
      <c r="G2146" s="255"/>
      <c r="H2146" s="255"/>
      <c r="I2146" s="255"/>
      <c r="J2146" s="255"/>
      <c r="K2146" s="255"/>
    </row>
    <row r="2147" spans="1:11" ht="13.5" customHeight="1">
      <c r="A2147"/>
      <c r="B2147"/>
      <c r="C2147"/>
      <c r="D2147"/>
      <c r="E2147"/>
      <c r="F2147" s="255"/>
      <c r="G2147" s="255"/>
      <c r="H2147" s="255"/>
      <c r="I2147" s="255"/>
      <c r="J2147" s="255"/>
      <c r="K2147" s="255"/>
    </row>
    <row r="2148" spans="1:11" ht="13.5" customHeight="1">
      <c r="A2148"/>
      <c r="B2148"/>
      <c r="C2148"/>
      <c r="D2148"/>
      <c r="E2148"/>
      <c r="F2148" s="255"/>
      <c r="G2148" s="255"/>
      <c r="H2148" s="255"/>
      <c r="I2148" s="255"/>
      <c r="J2148" s="255"/>
      <c r="K2148" s="255"/>
    </row>
    <row r="2149" spans="1:11" ht="13.5" customHeight="1">
      <c r="A2149"/>
      <c r="B2149"/>
      <c r="C2149"/>
      <c r="D2149"/>
      <c r="E2149"/>
      <c r="F2149" s="255"/>
      <c r="G2149" s="255"/>
      <c r="H2149" s="255"/>
      <c r="I2149" s="255"/>
      <c r="J2149" s="255"/>
      <c r="K2149" s="255"/>
    </row>
    <row r="2150" spans="1:11" ht="13.5" customHeight="1">
      <c r="A2150"/>
      <c r="B2150"/>
      <c r="C2150"/>
      <c r="D2150"/>
      <c r="E2150"/>
      <c r="F2150" s="255"/>
      <c r="G2150" s="255"/>
      <c r="H2150" s="255"/>
      <c r="I2150" s="255"/>
      <c r="J2150" s="255"/>
      <c r="K2150" s="255"/>
    </row>
    <row r="2151" spans="1:11" ht="13.5" customHeight="1">
      <c r="A2151"/>
      <c r="B2151"/>
      <c r="C2151"/>
      <c r="D2151"/>
      <c r="E2151"/>
      <c r="F2151" s="255"/>
      <c r="G2151" s="255"/>
      <c r="H2151" s="255"/>
      <c r="I2151" s="255"/>
      <c r="J2151" s="255"/>
      <c r="K2151" s="255"/>
    </row>
    <row r="2152" spans="1:11" ht="13.5" customHeight="1">
      <c r="A2152"/>
      <c r="B2152"/>
      <c r="C2152"/>
      <c r="D2152"/>
      <c r="E2152"/>
      <c r="F2152" s="255"/>
      <c r="G2152" s="255"/>
      <c r="H2152" s="255"/>
      <c r="I2152" s="255"/>
      <c r="J2152" s="255"/>
      <c r="K2152" s="255"/>
    </row>
    <row r="2153" spans="1:11" ht="13.5" customHeight="1">
      <c r="A2153"/>
      <c r="B2153"/>
      <c r="C2153"/>
      <c r="D2153"/>
      <c r="E2153"/>
      <c r="F2153" s="255"/>
      <c r="G2153" s="255"/>
      <c r="H2153" s="255"/>
      <c r="I2153" s="255"/>
      <c r="J2153" s="255"/>
      <c r="K2153" s="255"/>
    </row>
    <row r="2154" spans="1:11" ht="13.5" customHeight="1">
      <c r="A2154"/>
      <c r="B2154"/>
      <c r="C2154"/>
      <c r="D2154"/>
      <c r="E2154"/>
      <c r="F2154" s="255"/>
      <c r="G2154" s="255"/>
      <c r="H2154" s="255"/>
      <c r="I2154" s="255"/>
      <c r="J2154" s="255"/>
      <c r="K2154" s="255"/>
    </row>
    <row r="2155" spans="1:11" ht="13.5" customHeight="1">
      <c r="A2155"/>
      <c r="B2155"/>
      <c r="C2155"/>
      <c r="D2155"/>
      <c r="E2155"/>
      <c r="F2155" s="255"/>
      <c r="G2155" s="255"/>
      <c r="H2155" s="255"/>
      <c r="I2155" s="255"/>
      <c r="J2155" s="255"/>
      <c r="K2155" s="255"/>
    </row>
    <row r="2156" spans="1:11" ht="13.5" customHeight="1">
      <c r="A2156"/>
      <c r="B2156"/>
      <c r="C2156"/>
      <c r="D2156"/>
      <c r="E2156"/>
      <c r="F2156" s="255"/>
      <c r="G2156" s="255"/>
      <c r="H2156" s="255"/>
      <c r="I2156" s="255"/>
      <c r="J2156" s="255"/>
      <c r="K2156" s="255"/>
    </row>
    <row r="2157" spans="1:11" ht="13.5" customHeight="1">
      <c r="A2157"/>
      <c r="B2157"/>
      <c r="C2157"/>
      <c r="D2157"/>
      <c r="E2157"/>
      <c r="F2157" s="255"/>
      <c r="G2157" s="255"/>
      <c r="H2157" s="255"/>
      <c r="I2157" s="255"/>
      <c r="J2157" s="255"/>
      <c r="K2157" s="255"/>
    </row>
    <row r="2158" spans="1:11" ht="13.5" customHeight="1">
      <c r="A2158"/>
      <c r="B2158"/>
      <c r="C2158"/>
      <c r="D2158"/>
      <c r="E2158"/>
      <c r="F2158" s="255"/>
      <c r="G2158" s="255"/>
      <c r="H2158" s="255"/>
      <c r="I2158" s="255"/>
      <c r="J2158" s="255"/>
      <c r="K2158" s="255"/>
    </row>
    <row r="2159" spans="1:11" ht="13.5" customHeight="1">
      <c r="A2159"/>
      <c r="B2159"/>
      <c r="C2159"/>
      <c r="D2159"/>
      <c r="E2159"/>
      <c r="F2159" s="255"/>
      <c r="G2159" s="255"/>
      <c r="H2159" s="255"/>
      <c r="I2159" s="255"/>
      <c r="J2159" s="255"/>
      <c r="K2159" s="255"/>
    </row>
    <row r="2160" spans="1:11" ht="13.5" customHeight="1">
      <c r="A2160"/>
      <c r="B2160"/>
      <c r="C2160"/>
      <c r="D2160"/>
      <c r="E2160"/>
      <c r="F2160" s="255"/>
      <c r="G2160" s="255"/>
      <c r="H2160" s="255"/>
      <c r="I2160" s="255"/>
      <c r="J2160" s="255"/>
      <c r="K2160" s="255"/>
    </row>
    <row r="2161" spans="1:11" ht="13.5" customHeight="1">
      <c r="A2161"/>
      <c r="B2161"/>
      <c r="C2161"/>
      <c r="D2161"/>
      <c r="E2161"/>
      <c r="F2161" s="255"/>
      <c r="G2161" s="255"/>
      <c r="H2161" s="255"/>
      <c r="I2161" s="255"/>
      <c r="J2161" s="255"/>
      <c r="K2161" s="255"/>
    </row>
    <row r="2162" spans="1:11" ht="13.5" customHeight="1">
      <c r="A2162"/>
      <c r="B2162"/>
      <c r="C2162"/>
      <c r="D2162"/>
      <c r="E2162"/>
      <c r="F2162" s="255"/>
      <c r="G2162" s="255"/>
      <c r="H2162" s="255"/>
      <c r="I2162" s="255"/>
      <c r="J2162" s="255"/>
      <c r="K2162" s="255"/>
    </row>
    <row r="2163" spans="1:11" ht="13.5" customHeight="1">
      <c r="A2163"/>
      <c r="B2163"/>
      <c r="C2163"/>
      <c r="D2163"/>
      <c r="E2163"/>
      <c r="F2163" s="255"/>
      <c r="G2163" s="255"/>
      <c r="H2163" s="255"/>
      <c r="I2163" s="255"/>
      <c r="J2163" s="255"/>
      <c r="K2163" s="255"/>
    </row>
    <row r="2164" spans="1:11" ht="13.5" customHeight="1">
      <c r="A2164"/>
      <c r="B2164"/>
      <c r="C2164"/>
      <c r="D2164"/>
      <c r="E2164"/>
      <c r="F2164" s="255"/>
      <c r="G2164" s="255"/>
      <c r="H2164" s="255"/>
      <c r="I2164" s="255"/>
      <c r="J2164" s="255"/>
      <c r="K2164" s="255"/>
    </row>
    <row r="2165" spans="1:11" ht="13.5" customHeight="1">
      <c r="A2165"/>
      <c r="B2165"/>
      <c r="C2165"/>
      <c r="D2165"/>
      <c r="E2165"/>
      <c r="F2165" s="255"/>
      <c r="G2165" s="255"/>
      <c r="H2165" s="255"/>
      <c r="I2165" s="255"/>
      <c r="J2165" s="255"/>
      <c r="K2165" s="255"/>
    </row>
    <row r="2166" spans="1:11" ht="13.5" customHeight="1">
      <c r="A2166"/>
      <c r="B2166"/>
      <c r="C2166"/>
      <c r="D2166"/>
      <c r="E2166"/>
      <c r="F2166" s="255"/>
      <c r="G2166" s="255"/>
      <c r="H2166" s="255"/>
      <c r="I2166" s="255"/>
      <c r="J2166" s="255"/>
      <c r="K2166" s="255"/>
    </row>
    <row r="2167" spans="1:11" ht="13.5" customHeight="1">
      <c r="A2167"/>
      <c r="B2167"/>
      <c r="C2167"/>
      <c r="D2167"/>
      <c r="E2167"/>
      <c r="F2167" s="255"/>
      <c r="G2167" s="255"/>
      <c r="H2167" s="255"/>
      <c r="I2167" s="255"/>
      <c r="J2167" s="255"/>
      <c r="K2167" s="255"/>
    </row>
    <row r="2168" spans="1:11" ht="13.5" customHeight="1">
      <c r="A2168"/>
      <c r="B2168"/>
      <c r="C2168"/>
      <c r="D2168"/>
      <c r="E2168"/>
      <c r="F2168" s="255"/>
      <c r="G2168" s="255"/>
      <c r="H2168" s="255"/>
      <c r="I2168" s="255"/>
      <c r="J2168" s="255"/>
      <c r="K2168" s="255"/>
    </row>
    <row r="2169" spans="1:11" ht="13.5" customHeight="1">
      <c r="A2169"/>
      <c r="B2169"/>
      <c r="C2169"/>
      <c r="D2169"/>
      <c r="E2169"/>
      <c r="F2169" s="255"/>
      <c r="G2169" s="255"/>
      <c r="H2169" s="255"/>
      <c r="I2169" s="255"/>
      <c r="J2169" s="255"/>
      <c r="K2169" s="255"/>
    </row>
    <row r="2170" spans="1:11" ht="13.5" customHeight="1">
      <c r="A2170"/>
      <c r="B2170"/>
      <c r="C2170"/>
      <c r="D2170"/>
      <c r="E2170"/>
      <c r="F2170" s="255"/>
      <c r="G2170" s="255"/>
      <c r="H2170" s="255"/>
      <c r="I2170" s="255"/>
      <c r="J2170" s="255"/>
      <c r="K2170" s="255"/>
    </row>
    <row r="2171" spans="1:11" ht="13.5" customHeight="1">
      <c r="A2171"/>
      <c r="B2171"/>
      <c r="C2171"/>
      <c r="D2171"/>
      <c r="E2171"/>
      <c r="F2171" s="255"/>
      <c r="G2171" s="255"/>
      <c r="H2171" s="255"/>
      <c r="I2171" s="255"/>
      <c r="J2171" s="255"/>
      <c r="K2171" s="255"/>
    </row>
    <row r="2172" spans="1:11" ht="13.5" customHeight="1">
      <c r="A2172"/>
      <c r="B2172"/>
      <c r="C2172"/>
      <c r="D2172"/>
      <c r="E2172"/>
      <c r="F2172" s="255"/>
      <c r="G2172" s="255"/>
      <c r="H2172" s="255"/>
      <c r="I2172" s="255"/>
      <c r="J2172" s="255"/>
      <c r="K2172" s="255"/>
    </row>
    <row r="2173" spans="1:11" ht="13.5" customHeight="1">
      <c r="A2173"/>
      <c r="B2173"/>
      <c r="C2173"/>
      <c r="D2173"/>
      <c r="E2173"/>
      <c r="F2173" s="255"/>
      <c r="G2173" s="255"/>
      <c r="H2173" s="255"/>
      <c r="I2173" s="255"/>
      <c r="J2173" s="255"/>
      <c r="K2173" s="255"/>
    </row>
    <row r="2174" spans="1:11" ht="13.5" customHeight="1">
      <c r="A2174"/>
      <c r="B2174"/>
      <c r="C2174"/>
      <c r="D2174"/>
      <c r="E2174"/>
      <c r="F2174" s="255"/>
      <c r="G2174" s="255"/>
      <c r="H2174" s="255"/>
      <c r="I2174" s="255"/>
      <c r="J2174" s="255"/>
      <c r="K2174" s="255"/>
    </row>
    <row r="2175" spans="1:11" ht="13.5" customHeight="1">
      <c r="A2175"/>
      <c r="B2175"/>
      <c r="C2175"/>
      <c r="D2175"/>
      <c r="E2175"/>
      <c r="F2175" s="255"/>
      <c r="G2175" s="255"/>
      <c r="H2175" s="255"/>
      <c r="I2175" s="255"/>
      <c r="J2175" s="255"/>
      <c r="K2175" s="255"/>
    </row>
    <row r="2176" spans="1:11" ht="13.5" customHeight="1">
      <c r="A2176"/>
      <c r="B2176"/>
      <c r="C2176"/>
      <c r="D2176"/>
      <c r="E2176"/>
      <c r="F2176" s="255"/>
      <c r="G2176" s="255"/>
      <c r="H2176" s="255"/>
      <c r="I2176" s="255"/>
      <c r="J2176" s="255"/>
      <c r="K2176" s="255"/>
    </row>
    <row r="2177" spans="1:11" ht="13.5" customHeight="1">
      <c r="A2177"/>
      <c r="B2177"/>
      <c r="C2177"/>
      <c r="D2177"/>
      <c r="E2177"/>
      <c r="F2177" s="255"/>
      <c r="G2177" s="255"/>
      <c r="H2177" s="255"/>
      <c r="I2177" s="255"/>
      <c r="J2177" s="255"/>
      <c r="K2177" s="255"/>
    </row>
    <row r="2178" spans="1:11" ht="13.5" customHeight="1">
      <c r="A2178"/>
      <c r="B2178"/>
      <c r="C2178"/>
      <c r="D2178"/>
      <c r="E2178"/>
      <c r="F2178" s="255"/>
      <c r="G2178" s="255"/>
      <c r="H2178" s="255"/>
      <c r="I2178" s="255"/>
      <c r="J2178" s="255"/>
      <c r="K2178" s="255"/>
    </row>
    <row r="2179" spans="1:11" ht="13.5" customHeight="1">
      <c r="A2179"/>
      <c r="B2179"/>
      <c r="C2179"/>
      <c r="D2179"/>
      <c r="E2179"/>
      <c r="F2179" s="255"/>
      <c r="G2179" s="255"/>
      <c r="H2179" s="255"/>
      <c r="I2179" s="255"/>
      <c r="J2179" s="255"/>
      <c r="K2179" s="255"/>
    </row>
    <row r="2180" spans="1:11" ht="13.5" customHeight="1">
      <c r="A2180"/>
      <c r="B2180"/>
      <c r="C2180"/>
      <c r="D2180"/>
      <c r="E2180"/>
      <c r="F2180" s="255"/>
      <c r="G2180" s="255"/>
      <c r="H2180" s="255"/>
      <c r="I2180" s="255"/>
      <c r="J2180" s="255"/>
      <c r="K2180" s="255"/>
    </row>
    <row r="2181" spans="1:11" ht="13.5" customHeight="1">
      <c r="A2181"/>
      <c r="B2181"/>
      <c r="C2181"/>
      <c r="D2181"/>
      <c r="E2181"/>
      <c r="F2181" s="255"/>
      <c r="G2181" s="255"/>
      <c r="H2181" s="255"/>
      <c r="I2181" s="255"/>
      <c r="J2181" s="255"/>
      <c r="K2181" s="255"/>
    </row>
    <row r="2182" spans="1:11" ht="13.5" customHeight="1">
      <c r="A2182"/>
      <c r="B2182"/>
      <c r="C2182"/>
      <c r="D2182"/>
      <c r="E2182"/>
      <c r="F2182" s="255"/>
      <c r="G2182" s="255"/>
      <c r="H2182" s="255"/>
      <c r="I2182" s="255"/>
      <c r="J2182" s="255"/>
      <c r="K2182" s="255"/>
    </row>
    <row r="2183" spans="1:11" ht="13.5" customHeight="1">
      <c r="A2183"/>
      <c r="B2183"/>
      <c r="C2183"/>
      <c r="D2183"/>
      <c r="E2183"/>
      <c r="F2183" s="255"/>
      <c r="G2183" s="255"/>
      <c r="H2183" s="255"/>
      <c r="I2183" s="255"/>
      <c r="J2183" s="255"/>
      <c r="K2183" s="255"/>
    </row>
    <row r="2184" spans="1:11" ht="13.5" customHeight="1">
      <c r="A2184"/>
      <c r="B2184"/>
      <c r="C2184"/>
      <c r="D2184"/>
      <c r="E2184"/>
      <c r="F2184" s="255"/>
      <c r="G2184" s="255"/>
      <c r="H2184" s="255"/>
      <c r="I2184" s="255"/>
      <c r="J2184" s="255"/>
      <c r="K2184" s="255"/>
    </row>
    <row r="2185" spans="1:11" ht="13.5" customHeight="1">
      <c r="A2185"/>
      <c r="B2185"/>
      <c r="C2185"/>
      <c r="D2185"/>
      <c r="E2185"/>
      <c r="F2185" s="255"/>
      <c r="G2185" s="255"/>
      <c r="H2185" s="255"/>
      <c r="I2185" s="255"/>
      <c r="J2185" s="255"/>
      <c r="K2185" s="255"/>
    </row>
    <row r="2186" spans="1:11" ht="13.5" customHeight="1">
      <c r="A2186"/>
      <c r="B2186"/>
      <c r="C2186"/>
      <c r="D2186"/>
      <c r="E2186"/>
      <c r="F2186" s="255"/>
      <c r="G2186" s="255"/>
      <c r="H2186" s="255"/>
      <c r="I2186" s="255"/>
      <c r="J2186" s="255"/>
      <c r="K2186" s="255"/>
    </row>
    <row r="2187" spans="1:11" ht="13.5" customHeight="1">
      <c r="A2187"/>
      <c r="B2187"/>
      <c r="C2187"/>
      <c r="D2187"/>
      <c r="E2187"/>
      <c r="F2187" s="255"/>
      <c r="G2187" s="255"/>
      <c r="H2187" s="255"/>
      <c r="I2187" s="255"/>
      <c r="J2187" s="255"/>
      <c r="K2187" s="255"/>
    </row>
    <row r="2188" spans="1:11" ht="13.5" customHeight="1">
      <c r="A2188"/>
      <c r="B2188"/>
      <c r="C2188"/>
      <c r="D2188"/>
      <c r="E2188"/>
      <c r="F2188" s="255"/>
      <c r="G2188" s="255"/>
      <c r="H2188" s="255"/>
      <c r="I2188" s="255"/>
      <c r="J2188" s="255"/>
      <c r="K2188" s="255"/>
    </row>
    <row r="2189" spans="1:11" ht="13.5" customHeight="1">
      <c r="A2189"/>
      <c r="B2189"/>
      <c r="C2189"/>
      <c r="D2189"/>
      <c r="E2189"/>
      <c r="F2189" s="255"/>
      <c r="G2189" s="255"/>
      <c r="H2189" s="255"/>
      <c r="I2189" s="255"/>
      <c r="J2189" s="255"/>
      <c r="K2189" s="255"/>
    </row>
    <row r="2190" spans="1:11" ht="13.5" customHeight="1">
      <c r="A2190"/>
      <c r="B2190"/>
      <c r="C2190"/>
      <c r="D2190"/>
      <c r="E2190"/>
      <c r="F2190" s="255"/>
      <c r="G2190" s="255"/>
      <c r="H2190" s="255"/>
      <c r="I2190" s="255"/>
      <c r="J2190" s="255"/>
      <c r="K2190" s="255"/>
    </row>
    <row r="2191" spans="1:11" ht="13.5" customHeight="1">
      <c r="A2191"/>
      <c r="B2191"/>
      <c r="C2191"/>
      <c r="D2191"/>
      <c r="E2191"/>
      <c r="F2191" s="255"/>
      <c r="G2191" s="255"/>
      <c r="H2191" s="255"/>
      <c r="I2191" s="255"/>
      <c r="J2191" s="255"/>
      <c r="K2191" s="255"/>
    </row>
    <row r="2192" spans="1:11" ht="13.5" customHeight="1">
      <c r="A2192"/>
      <c r="B2192"/>
      <c r="C2192"/>
      <c r="D2192"/>
      <c r="E2192"/>
      <c r="F2192" s="255"/>
      <c r="G2192" s="255"/>
      <c r="H2192" s="255"/>
      <c r="I2192" s="255"/>
      <c r="J2192" s="255"/>
      <c r="K2192" s="255"/>
    </row>
    <row r="2193" spans="1:11" ht="13.5" customHeight="1">
      <c r="A2193"/>
      <c r="B2193"/>
      <c r="C2193"/>
      <c r="D2193"/>
      <c r="E2193"/>
      <c r="F2193" s="255"/>
      <c r="G2193" s="255"/>
      <c r="H2193" s="255"/>
      <c r="I2193" s="255"/>
      <c r="J2193" s="255"/>
      <c r="K2193" s="255"/>
    </row>
    <row r="2194" spans="1:11" ht="13.5" customHeight="1">
      <c r="A2194"/>
      <c r="B2194"/>
      <c r="C2194"/>
      <c r="D2194"/>
      <c r="E2194"/>
      <c r="F2194" s="255"/>
      <c r="G2194" s="255"/>
      <c r="H2194" s="255"/>
      <c r="I2194" s="255"/>
      <c r="J2194" s="255"/>
      <c r="K2194" s="255"/>
    </row>
    <row r="2195" spans="1:11" ht="13.5" customHeight="1">
      <c r="A2195"/>
      <c r="B2195"/>
      <c r="C2195"/>
      <c r="D2195"/>
      <c r="E2195"/>
      <c r="F2195" s="255"/>
      <c r="G2195" s="255"/>
      <c r="H2195" s="255"/>
      <c r="I2195" s="255"/>
      <c r="J2195" s="255"/>
      <c r="K2195" s="255"/>
    </row>
    <row r="2196" spans="1:11" ht="13.5" customHeight="1">
      <c r="A2196"/>
      <c r="B2196"/>
      <c r="C2196"/>
      <c r="D2196"/>
      <c r="E2196"/>
      <c r="F2196" s="255"/>
      <c r="G2196" s="255"/>
      <c r="H2196" s="255"/>
      <c r="I2196" s="255"/>
      <c r="J2196" s="255"/>
      <c r="K2196" s="255"/>
    </row>
    <row r="2197" spans="1:11" ht="13.5" customHeight="1">
      <c r="A2197"/>
      <c r="B2197"/>
      <c r="C2197"/>
      <c r="D2197"/>
      <c r="E2197"/>
      <c r="F2197" s="255"/>
      <c r="G2197" s="255"/>
      <c r="H2197" s="255"/>
      <c r="I2197" s="255"/>
      <c r="J2197" s="255"/>
      <c r="K2197" s="255"/>
    </row>
    <row r="2198" spans="1:11" ht="13.5" customHeight="1">
      <c r="A2198"/>
      <c r="B2198"/>
      <c r="C2198"/>
      <c r="D2198"/>
      <c r="E2198"/>
      <c r="F2198" s="255"/>
      <c r="G2198" s="255"/>
      <c r="H2198" s="255"/>
      <c r="I2198" s="255"/>
      <c r="J2198" s="255"/>
      <c r="K2198" s="255"/>
    </row>
    <row r="2199" spans="1:11" ht="13.5" customHeight="1">
      <c r="A2199"/>
      <c r="B2199"/>
      <c r="C2199"/>
      <c r="D2199"/>
      <c r="E2199"/>
      <c r="F2199" s="255"/>
      <c r="G2199" s="255"/>
      <c r="H2199" s="255"/>
      <c r="I2199" s="255"/>
      <c r="J2199" s="255"/>
      <c r="K2199" s="255"/>
    </row>
    <row r="2200" spans="1:11" ht="13.5" customHeight="1">
      <c r="A2200"/>
      <c r="B2200"/>
      <c r="C2200"/>
      <c r="D2200"/>
      <c r="E2200"/>
      <c r="F2200" s="255"/>
      <c r="G2200" s="255"/>
      <c r="H2200" s="255"/>
      <c r="I2200" s="255"/>
      <c r="J2200" s="255"/>
      <c r="K2200" s="255"/>
    </row>
    <row r="2201" spans="1:11" ht="13.5" customHeight="1">
      <c r="A2201"/>
      <c r="B2201"/>
      <c r="C2201"/>
      <c r="D2201"/>
      <c r="E2201"/>
      <c r="F2201" s="255"/>
      <c r="G2201" s="255"/>
      <c r="H2201" s="255"/>
      <c r="I2201" s="255"/>
      <c r="J2201" s="255"/>
      <c r="K2201" s="255"/>
    </row>
    <row r="2202" spans="1:11" ht="13.5" customHeight="1">
      <c r="A2202"/>
      <c r="B2202"/>
      <c r="C2202"/>
      <c r="D2202"/>
      <c r="E2202"/>
      <c r="F2202" s="255"/>
      <c r="G2202" s="255"/>
      <c r="H2202" s="255"/>
      <c r="I2202" s="255"/>
      <c r="J2202" s="255"/>
      <c r="K2202" s="255"/>
    </row>
    <row r="2203" spans="1:11" ht="13.5" customHeight="1">
      <c r="A2203"/>
      <c r="B2203"/>
      <c r="C2203"/>
      <c r="D2203"/>
      <c r="E2203"/>
      <c r="F2203" s="255"/>
      <c r="G2203" s="255"/>
      <c r="H2203" s="255"/>
      <c r="I2203" s="255"/>
      <c r="J2203" s="255"/>
      <c r="K2203" s="255"/>
    </row>
    <row r="2204" spans="1:11" ht="13.5" customHeight="1">
      <c r="A2204"/>
      <c r="B2204"/>
      <c r="C2204"/>
      <c r="D2204"/>
      <c r="E2204"/>
      <c r="F2204" s="255"/>
      <c r="G2204" s="255"/>
      <c r="H2204" s="255"/>
      <c r="I2204" s="255"/>
      <c r="J2204" s="255"/>
      <c r="K2204" s="255"/>
    </row>
    <row r="2205" spans="1:11" ht="13.5" customHeight="1">
      <c r="A2205"/>
      <c r="B2205"/>
      <c r="C2205"/>
      <c r="D2205"/>
      <c r="E2205"/>
      <c r="F2205" s="255"/>
      <c r="G2205" s="255"/>
      <c r="H2205" s="255"/>
      <c r="I2205" s="255"/>
      <c r="J2205" s="255"/>
      <c r="K2205" s="255"/>
    </row>
    <row r="2206" spans="1:11" ht="13.5" customHeight="1">
      <c r="A2206"/>
      <c r="B2206"/>
      <c r="C2206"/>
      <c r="D2206"/>
      <c r="E2206"/>
      <c r="F2206" s="255"/>
      <c r="G2206" s="255"/>
      <c r="H2206" s="255"/>
      <c r="I2206" s="255"/>
      <c r="J2206" s="255"/>
      <c r="K2206" s="255"/>
    </row>
    <row r="2207" spans="1:11" ht="13.5" customHeight="1">
      <c r="A2207"/>
      <c r="B2207"/>
      <c r="C2207"/>
      <c r="D2207"/>
      <c r="E2207"/>
      <c r="F2207" s="255"/>
      <c r="G2207" s="255"/>
      <c r="H2207" s="255"/>
      <c r="I2207" s="255"/>
      <c r="J2207" s="255"/>
      <c r="K2207" s="255"/>
    </row>
    <row r="2208" spans="1:11" ht="13.5" customHeight="1">
      <c r="A2208"/>
      <c r="B2208"/>
      <c r="C2208"/>
      <c r="D2208"/>
      <c r="E2208"/>
      <c r="F2208" s="255"/>
      <c r="G2208" s="255"/>
      <c r="H2208" s="255"/>
      <c r="I2208" s="255"/>
      <c r="J2208" s="255"/>
      <c r="K2208" s="255"/>
    </row>
    <row r="2209" spans="1:11" ht="13.5" customHeight="1">
      <c r="A2209"/>
      <c r="B2209"/>
      <c r="C2209"/>
      <c r="D2209"/>
      <c r="E2209"/>
      <c r="F2209" s="255"/>
      <c r="G2209" s="255"/>
      <c r="H2209" s="255"/>
      <c r="I2209" s="255"/>
      <c r="J2209" s="255"/>
      <c r="K2209" s="255"/>
    </row>
    <row r="2210" spans="1:11" ht="13.5" customHeight="1">
      <c r="A2210"/>
      <c r="B2210"/>
      <c r="C2210"/>
      <c r="D2210"/>
      <c r="E2210"/>
      <c r="F2210" s="255"/>
      <c r="G2210" s="255"/>
      <c r="H2210" s="255"/>
      <c r="I2210" s="255"/>
      <c r="J2210" s="255"/>
      <c r="K2210" s="255"/>
    </row>
    <row r="2211" spans="1:11" ht="13.5" customHeight="1">
      <c r="A2211"/>
      <c r="B2211"/>
      <c r="C2211"/>
      <c r="D2211"/>
      <c r="E2211"/>
      <c r="F2211" s="255"/>
      <c r="G2211" s="255"/>
      <c r="H2211" s="255"/>
      <c r="I2211" s="255"/>
      <c r="J2211" s="255"/>
      <c r="K2211" s="255"/>
    </row>
    <row r="2212" spans="1:11" ht="13.5" customHeight="1">
      <c r="A2212"/>
      <c r="B2212"/>
      <c r="C2212"/>
      <c r="D2212"/>
      <c r="E2212"/>
      <c r="F2212" s="255"/>
      <c r="G2212" s="255"/>
      <c r="H2212" s="255"/>
      <c r="I2212" s="255"/>
      <c r="J2212" s="255"/>
      <c r="K2212" s="255"/>
    </row>
    <row r="2213" spans="1:11" ht="13.5" customHeight="1">
      <c r="A2213"/>
      <c r="B2213"/>
      <c r="C2213"/>
      <c r="D2213"/>
      <c r="E2213"/>
      <c r="F2213" s="255"/>
      <c r="G2213" s="255"/>
      <c r="H2213" s="255"/>
      <c r="I2213" s="255"/>
      <c r="J2213" s="255"/>
      <c r="K2213" s="255"/>
    </row>
    <row r="2214" spans="1:11" ht="13.5" customHeight="1">
      <c r="A2214"/>
      <c r="B2214"/>
      <c r="C2214"/>
      <c r="D2214"/>
      <c r="E2214"/>
      <c r="F2214" s="255"/>
      <c r="G2214" s="255"/>
      <c r="H2214" s="255"/>
      <c r="I2214" s="255"/>
      <c r="J2214" s="255"/>
      <c r="K2214" s="255"/>
    </row>
    <row r="2215" spans="1:11" ht="13.5" customHeight="1">
      <c r="A2215"/>
      <c r="B2215"/>
      <c r="C2215"/>
      <c r="D2215"/>
      <c r="E2215"/>
      <c r="F2215" s="255"/>
      <c r="G2215" s="255"/>
      <c r="H2215" s="255"/>
      <c r="I2215" s="255"/>
      <c r="J2215" s="255"/>
      <c r="K2215" s="255"/>
    </row>
    <row r="2216" spans="1:11" ht="13.5" customHeight="1">
      <c r="A2216"/>
      <c r="B2216"/>
      <c r="C2216"/>
      <c r="D2216"/>
      <c r="E2216"/>
      <c r="F2216" s="255"/>
      <c r="G2216" s="255"/>
      <c r="H2216" s="255"/>
      <c r="I2216" s="255"/>
      <c r="J2216" s="255"/>
      <c r="K2216" s="255"/>
    </row>
    <row r="2217" spans="1:11" ht="13.5" customHeight="1">
      <c r="A2217"/>
      <c r="B2217"/>
      <c r="C2217"/>
      <c r="D2217"/>
      <c r="E2217"/>
      <c r="F2217" s="255"/>
      <c r="G2217" s="255"/>
      <c r="H2217" s="255"/>
      <c r="I2217" s="255"/>
      <c r="J2217" s="255"/>
      <c r="K2217" s="255"/>
    </row>
    <row r="2218" spans="1:11" ht="13.5" customHeight="1">
      <c r="A2218"/>
      <c r="B2218"/>
      <c r="C2218"/>
      <c r="D2218"/>
      <c r="E2218"/>
      <c r="F2218" s="255"/>
      <c r="G2218" s="255"/>
      <c r="H2218" s="255"/>
      <c r="I2218" s="255"/>
      <c r="J2218" s="255"/>
      <c r="K2218" s="255"/>
    </row>
    <row r="2219" spans="1:11" ht="13.5" customHeight="1">
      <c r="A2219"/>
      <c r="B2219"/>
      <c r="C2219"/>
      <c r="D2219"/>
      <c r="E2219"/>
      <c r="F2219" s="255"/>
      <c r="G2219" s="255"/>
      <c r="H2219" s="255"/>
      <c r="I2219" s="255"/>
      <c r="J2219" s="255"/>
      <c r="K2219" s="255"/>
    </row>
    <row r="2220" spans="1:11" ht="13.5" customHeight="1">
      <c r="A2220"/>
      <c r="B2220"/>
      <c r="C2220"/>
      <c r="D2220"/>
      <c r="E2220"/>
      <c r="F2220" s="255"/>
      <c r="G2220" s="255"/>
      <c r="H2220" s="255"/>
      <c r="I2220" s="255"/>
      <c r="J2220" s="255"/>
      <c r="K2220" s="255"/>
    </row>
    <row r="2221" spans="1:11" ht="13.5" customHeight="1">
      <c r="A2221"/>
      <c r="B2221"/>
      <c r="C2221"/>
      <c r="D2221"/>
      <c r="E2221"/>
      <c r="F2221" s="255"/>
      <c r="G2221" s="255"/>
      <c r="H2221" s="255"/>
      <c r="I2221" s="255"/>
      <c r="J2221" s="255"/>
      <c r="K2221" s="255"/>
    </row>
    <row r="2222" spans="1:11" ht="13.5" customHeight="1">
      <c r="A2222"/>
      <c r="B2222"/>
      <c r="C2222"/>
      <c r="D2222"/>
      <c r="E2222"/>
      <c r="F2222" s="255"/>
      <c r="G2222" s="255"/>
      <c r="H2222" s="255"/>
      <c r="I2222" s="255"/>
      <c r="J2222" s="255"/>
      <c r="K2222" s="255"/>
    </row>
    <row r="2223" spans="1:11" ht="13.5" customHeight="1">
      <c r="A2223"/>
      <c r="B2223"/>
      <c r="C2223"/>
      <c r="D2223"/>
      <c r="E2223"/>
      <c r="F2223" s="255"/>
      <c r="G2223" s="255"/>
      <c r="H2223" s="255"/>
      <c r="I2223" s="255"/>
      <c r="J2223" s="255"/>
      <c r="K2223" s="255"/>
    </row>
    <row r="2224" spans="1:11" ht="13.5" customHeight="1">
      <c r="A2224"/>
      <c r="B2224"/>
      <c r="C2224"/>
      <c r="D2224"/>
      <c r="E2224"/>
      <c r="F2224" s="255"/>
      <c r="G2224" s="255"/>
      <c r="H2224" s="255"/>
      <c r="I2224" s="255"/>
      <c r="J2224" s="255"/>
      <c r="K2224" s="255"/>
    </row>
    <row r="2225" spans="1:11" ht="13.5" customHeight="1">
      <c r="A2225"/>
      <c r="B2225"/>
      <c r="C2225"/>
      <c r="D2225"/>
      <c r="E2225"/>
      <c r="F2225" s="255"/>
      <c r="G2225" s="255"/>
      <c r="H2225" s="255"/>
      <c r="I2225" s="255"/>
      <c r="J2225" s="255"/>
      <c r="K2225" s="255"/>
    </row>
    <row r="2226" spans="1:11" ht="13.5" customHeight="1">
      <c r="A2226"/>
      <c r="B2226"/>
      <c r="C2226"/>
      <c r="D2226"/>
      <c r="E2226"/>
      <c r="F2226" s="255"/>
      <c r="G2226" s="255"/>
      <c r="H2226" s="255"/>
      <c r="I2226" s="255"/>
      <c r="J2226" s="255"/>
      <c r="K2226" s="255"/>
    </row>
    <row r="2227" spans="1:11" ht="13.5" customHeight="1">
      <c r="A2227"/>
      <c r="B2227"/>
      <c r="C2227"/>
      <c r="D2227"/>
      <c r="E2227"/>
      <c r="F2227" s="255"/>
      <c r="G2227" s="255"/>
      <c r="H2227" s="255"/>
      <c r="I2227" s="255"/>
      <c r="J2227" s="255"/>
      <c r="K2227" s="255"/>
    </row>
    <row r="2228" spans="1:11" ht="13.5" customHeight="1">
      <c r="A2228"/>
      <c r="B2228"/>
      <c r="C2228"/>
      <c r="D2228"/>
      <c r="E2228"/>
      <c r="F2228" s="255"/>
      <c r="G2228" s="255"/>
      <c r="H2228" s="255"/>
      <c r="I2228" s="255"/>
      <c r="J2228" s="255"/>
      <c r="K2228" s="255"/>
    </row>
    <row r="2229" spans="1:11" ht="13.5" customHeight="1">
      <c r="A2229"/>
      <c r="B2229"/>
      <c r="C2229"/>
      <c r="D2229"/>
      <c r="E2229"/>
      <c r="F2229" s="255"/>
      <c r="G2229" s="255"/>
      <c r="H2229" s="255"/>
      <c r="I2229" s="255"/>
      <c r="J2229" s="255"/>
      <c r="K2229" s="255"/>
    </row>
    <row r="2230" spans="1:11" ht="13.5" customHeight="1">
      <c r="A2230"/>
      <c r="B2230"/>
      <c r="C2230"/>
      <c r="D2230"/>
      <c r="E2230"/>
      <c r="F2230" s="255"/>
      <c r="G2230" s="255"/>
      <c r="H2230" s="255"/>
      <c r="I2230" s="255"/>
      <c r="J2230" s="255"/>
      <c r="K2230" s="255"/>
    </row>
  </sheetData>
  <sheetProtection/>
  <mergeCells count="15">
    <mergeCell ref="A19:B19"/>
    <mergeCell ref="A42:B42"/>
    <mergeCell ref="A57:B57"/>
    <mergeCell ref="A79:B79"/>
    <mergeCell ref="A89:B89"/>
    <mergeCell ref="A121:B121"/>
    <mergeCell ref="A277:B277"/>
    <mergeCell ref="A297:B297"/>
    <mergeCell ref="A305:B305"/>
    <mergeCell ref="A149:B149"/>
    <mergeCell ref="A168:B168"/>
    <mergeCell ref="A195:B195"/>
    <mergeCell ref="A206:B206"/>
    <mergeCell ref="A218:B218"/>
    <mergeCell ref="A250:B250"/>
  </mergeCells>
  <printOptions/>
  <pageMargins left="0.7874015748031497" right="0.1968503937007874" top="0.7874015748031497" bottom="0.7874015748031497" header="0.3937007874015748" footer="0.1968503937007874"/>
  <pageSetup horizontalDpi="720" verticalDpi="720" orientation="portrait" paperSize="9" r:id="rId1"/>
  <headerFooter>
    <oddHeader>&amp;L&amp;"Arial Narrow,Normal"&amp;8Presupuesto Municipal 2016
&amp;R&amp;"Arial Narrow,Normal"&amp;8MUNICIPALIDAD DE VILLA MARÍA
Secretaría de Economía y Administración</oddHeader>
    <oddFooter>&amp;C&amp;"Arial Narrow,Normal"&amp;8Secretaría de Gobierno y Descentralización Territorial
Página &amp;P de &amp;N</oddFooter>
  </headerFooter>
  <rowBreaks count="2" manualBreakCount="2">
    <brk id="97" max="255" man="1"/>
    <brk id="1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70"/>
  <sheetViews>
    <sheetView workbookViewId="0" topLeftCell="A416">
      <selection activeCell="I446" sqref="I446"/>
    </sheetView>
  </sheetViews>
  <sheetFormatPr defaultColWidth="11.421875" defaultRowHeight="12.75"/>
  <cols>
    <col min="1" max="1" width="9.7109375" style="465" customWidth="1"/>
    <col min="2" max="2" width="46.7109375" style="465" customWidth="1"/>
    <col min="3" max="3" width="12.7109375" style="514" customWidth="1"/>
    <col min="4" max="4" width="10.7109375" style="512" customWidth="1"/>
    <col min="5" max="5" width="13.7109375" style="514" customWidth="1"/>
    <col min="6" max="6" width="13.00390625" style="232" customWidth="1"/>
    <col min="7" max="7" width="16.57421875" style="188" customWidth="1"/>
    <col min="8" max="8" width="13.421875" style="188" customWidth="1"/>
    <col min="9" max="9" width="13.00390625" style="513" customWidth="1"/>
    <col min="10" max="16384" width="11.421875" style="188" customWidth="1"/>
  </cols>
  <sheetData>
    <row r="1" spans="1:9" s="348" customFormat="1" ht="13.5" customHeight="1">
      <c r="A1" s="344" t="s">
        <v>366</v>
      </c>
      <c r="B1" s="344"/>
      <c r="C1" s="345"/>
      <c r="D1" s="346"/>
      <c r="E1" s="347"/>
      <c r="F1" s="265"/>
      <c r="I1" s="349"/>
    </row>
    <row r="2" spans="1:9" s="354" customFormat="1" ht="13.5" customHeight="1">
      <c r="A2" s="350"/>
      <c r="B2" s="350"/>
      <c r="C2" s="351"/>
      <c r="D2" s="352"/>
      <c r="E2" s="351"/>
      <c r="F2" s="353"/>
      <c r="I2" s="355"/>
    </row>
    <row r="3" spans="1:9" s="354" customFormat="1" ht="13.5" customHeight="1" thickBot="1">
      <c r="A3" s="350"/>
      <c r="B3" s="350"/>
      <c r="C3" s="351"/>
      <c r="D3" s="352"/>
      <c r="E3" s="351"/>
      <c r="F3" s="353"/>
      <c r="I3" s="355"/>
    </row>
    <row r="4" spans="1:9" s="354" customFormat="1" ht="13.5" customHeight="1">
      <c r="A4" s="356" t="s">
        <v>1155</v>
      </c>
      <c r="B4" s="357"/>
      <c r="C4" s="358"/>
      <c r="D4" s="359" t="s">
        <v>6</v>
      </c>
      <c r="E4" s="360">
        <v>1301</v>
      </c>
      <c r="F4" s="353"/>
      <c r="I4" s="355"/>
    </row>
    <row r="5" spans="1:9" s="354" customFormat="1" ht="13.5" customHeight="1" thickBot="1">
      <c r="A5" s="361"/>
      <c r="B5" s="362" t="s">
        <v>367</v>
      </c>
      <c r="C5" s="363"/>
      <c r="D5" s="364"/>
      <c r="E5" s="365"/>
      <c r="F5" s="353"/>
      <c r="I5" s="355"/>
    </row>
    <row r="6" spans="1:9" s="354" customFormat="1" ht="13.5" customHeight="1" thickBot="1">
      <c r="A6" s="366" t="s">
        <v>368</v>
      </c>
      <c r="B6" s="367"/>
      <c r="C6" s="368"/>
      <c r="D6" s="369"/>
      <c r="E6" s="370"/>
      <c r="F6" s="353"/>
      <c r="I6" s="355"/>
    </row>
    <row r="7" spans="1:9" s="354" customFormat="1" ht="13.5" customHeight="1">
      <c r="A7" s="371" t="s">
        <v>1365</v>
      </c>
      <c r="B7" s="69"/>
      <c r="C7" s="117"/>
      <c r="D7" s="118"/>
      <c r="E7" s="372"/>
      <c r="F7" s="353"/>
      <c r="I7" s="355"/>
    </row>
    <row r="8" spans="1:9" s="354" customFormat="1" ht="13.5" customHeight="1">
      <c r="A8" s="371" t="s">
        <v>369</v>
      </c>
      <c r="B8" s="69"/>
      <c r="C8" s="117"/>
      <c r="D8" s="118"/>
      <c r="E8" s="372"/>
      <c r="F8" s="353"/>
      <c r="I8" s="355"/>
    </row>
    <row r="9" spans="1:9" s="354" customFormat="1" ht="13.5" customHeight="1">
      <c r="A9" s="371" t="s">
        <v>1421</v>
      </c>
      <c r="B9" s="69"/>
      <c r="C9" s="117"/>
      <c r="D9" s="118"/>
      <c r="E9" s="372"/>
      <c r="F9" s="353"/>
      <c r="I9" s="355"/>
    </row>
    <row r="10" spans="1:9" s="354" customFormat="1" ht="13.5" customHeight="1" thickBot="1">
      <c r="A10" s="371" t="s">
        <v>11</v>
      </c>
      <c r="B10" s="69"/>
      <c r="C10" s="117"/>
      <c r="D10" s="118"/>
      <c r="E10" s="372"/>
      <c r="F10" s="353"/>
      <c r="I10" s="355"/>
    </row>
    <row r="11" spans="1:9" s="354" customFormat="1" ht="13.5" customHeight="1" thickBot="1">
      <c r="A11" s="373" t="s">
        <v>0</v>
      </c>
      <c r="B11" s="374"/>
      <c r="C11" s="375"/>
      <c r="D11" s="376"/>
      <c r="E11" s="377">
        <f>C13+C36+C55+C75</f>
        <v>52511931</v>
      </c>
      <c r="F11" s="26"/>
      <c r="I11" s="355"/>
    </row>
    <row r="12" spans="1:9" s="182" customFormat="1" ht="13.5" customHeight="1" thickBot="1">
      <c r="A12" s="378"/>
      <c r="B12" s="378"/>
      <c r="C12" s="379"/>
      <c r="D12" s="380"/>
      <c r="E12" s="379"/>
      <c r="F12" s="353"/>
      <c r="I12" s="381"/>
    </row>
    <row r="13" spans="1:9" s="385" customFormat="1" ht="13.5" customHeight="1" thickBot="1">
      <c r="A13" s="975" t="s">
        <v>1</v>
      </c>
      <c r="B13" s="976"/>
      <c r="C13" s="382">
        <f>C14+C21+C28</f>
        <v>52125093</v>
      </c>
      <c r="D13" s="383"/>
      <c r="E13" s="384"/>
      <c r="F13" s="353"/>
      <c r="I13" s="386"/>
    </row>
    <row r="14" spans="1:11" s="200" customFormat="1" ht="13.5">
      <c r="A14" s="12" t="s">
        <v>107</v>
      </c>
      <c r="B14" s="404" t="s">
        <v>108</v>
      </c>
      <c r="C14" s="33">
        <f>SUM(C15:C20)</f>
        <v>30797319</v>
      </c>
      <c r="D14" s="33"/>
      <c r="E14" s="277"/>
      <c r="F14" s="299"/>
      <c r="G14" s="201"/>
      <c r="H14" s="201"/>
      <c r="I14" s="387"/>
      <c r="J14" s="201"/>
      <c r="K14" s="201"/>
    </row>
    <row r="15" spans="1:9" s="107" customFormat="1" ht="12.75" customHeight="1" hidden="1">
      <c r="A15" s="13" t="s">
        <v>27</v>
      </c>
      <c r="B15" s="25" t="s">
        <v>24</v>
      </c>
      <c r="C15" s="821">
        <f>22443742</f>
        <v>22443742</v>
      </c>
      <c r="D15" s="23"/>
      <c r="E15" s="26"/>
      <c r="F15" s="116"/>
      <c r="I15" s="388"/>
    </row>
    <row r="16" spans="1:9" s="184" customFormat="1" ht="12.75" customHeight="1" hidden="1">
      <c r="A16" s="13" t="s">
        <v>28</v>
      </c>
      <c r="B16" s="25" t="s">
        <v>26</v>
      </c>
      <c r="C16" s="821">
        <f>4416302+993005</f>
        <v>5409307</v>
      </c>
      <c r="D16" s="23"/>
      <c r="E16" s="26"/>
      <c r="F16" s="116"/>
      <c r="I16" s="388"/>
    </row>
    <row r="17" spans="1:9" s="184" customFormat="1" ht="12.75" customHeight="1" hidden="1">
      <c r="A17" s="13" t="s">
        <v>29</v>
      </c>
      <c r="B17" s="25" t="s">
        <v>86</v>
      </c>
      <c r="C17" s="821">
        <f>25000+884209+26129</f>
        <v>935338</v>
      </c>
      <c r="D17" s="23"/>
      <c r="E17" s="26"/>
      <c r="F17" s="116"/>
      <c r="I17" s="388"/>
    </row>
    <row r="18" spans="1:9" s="184" customFormat="1" ht="12.75" customHeight="1" hidden="1">
      <c r="A18" s="13" t="s">
        <v>30</v>
      </c>
      <c r="B18" s="25" t="s">
        <v>87</v>
      </c>
      <c r="C18" s="821">
        <f>28080.9+78930+83052.78+25440+112440+0.32</f>
        <v>327944</v>
      </c>
      <c r="D18" s="23"/>
      <c r="E18" s="26"/>
      <c r="F18" s="116"/>
      <c r="I18" s="388"/>
    </row>
    <row r="19" spans="1:9" s="107" customFormat="1" ht="12.75" customHeight="1" hidden="1">
      <c r="A19" s="13" t="s">
        <v>31</v>
      </c>
      <c r="B19" s="25" t="s">
        <v>25</v>
      </c>
      <c r="C19" s="821">
        <f>15400+185152</f>
        <v>200552</v>
      </c>
      <c r="D19" s="23"/>
      <c r="E19" s="26"/>
      <c r="F19" s="116"/>
      <c r="I19" s="388"/>
    </row>
    <row r="20" spans="1:9" s="184" customFormat="1" ht="12.75" customHeight="1" hidden="1">
      <c r="A20" s="13" t="s">
        <v>32</v>
      </c>
      <c r="B20" s="25" t="s">
        <v>23</v>
      </c>
      <c r="C20" s="821">
        <f>80540.6+111714.96+56591.43+101393.16+74763.28+133607.4+88108.76+148191.55+86665.35+40072.11+167604.29+172723.86+106615.35+111843.16+0.74</f>
        <v>1480436</v>
      </c>
      <c r="D20" s="23"/>
      <c r="E20" s="26"/>
      <c r="F20" s="24"/>
      <c r="I20" s="388"/>
    </row>
    <row r="21" spans="1:9" s="184" customFormat="1" ht="12.75" customHeight="1">
      <c r="A21" s="12" t="s">
        <v>109</v>
      </c>
      <c r="B21" s="33" t="s">
        <v>110</v>
      </c>
      <c r="C21" s="33">
        <f>SUM(C22:C27)</f>
        <v>8596988</v>
      </c>
      <c r="D21" s="23"/>
      <c r="E21" s="26"/>
      <c r="F21" s="24"/>
      <c r="I21" s="388"/>
    </row>
    <row r="22" spans="1:9" s="107" customFormat="1" ht="12.75" customHeight="1" hidden="1">
      <c r="A22" s="13" t="s">
        <v>34</v>
      </c>
      <c r="B22" s="25" t="s">
        <v>88</v>
      </c>
      <c r="C22" s="821">
        <v>6681806</v>
      </c>
      <c r="D22" s="23"/>
      <c r="E22" s="26"/>
      <c r="F22" s="25"/>
      <c r="G22" s="13"/>
      <c r="H22" s="13"/>
      <c r="I22" s="388"/>
    </row>
    <row r="23" spans="1:9" s="184" customFormat="1" ht="12.75" customHeight="1" hidden="1">
      <c r="A23" s="13" t="s">
        <v>35</v>
      </c>
      <c r="B23" s="25" t="s">
        <v>89</v>
      </c>
      <c r="C23" s="821">
        <f>1345714+302786</f>
        <v>1648500</v>
      </c>
      <c r="D23" s="23"/>
      <c r="E23" s="26"/>
      <c r="F23" s="116"/>
      <c r="I23" s="388"/>
    </row>
    <row r="24" spans="1:9" s="184" customFormat="1" ht="12.75" customHeight="1" hidden="1">
      <c r="A24" s="13" t="s">
        <v>36</v>
      </c>
      <c r="B24" s="25" t="s">
        <v>90</v>
      </c>
      <c r="C24" s="821">
        <f>259253+7426</f>
        <v>266679</v>
      </c>
      <c r="D24" s="23"/>
      <c r="E24" s="26"/>
      <c r="F24" s="116"/>
      <c r="I24" s="388"/>
    </row>
    <row r="25" spans="1:9" s="184" customFormat="1" ht="12.75" customHeight="1" hidden="1">
      <c r="A25" s="13" t="s">
        <v>37</v>
      </c>
      <c r="B25" s="25" t="s">
        <v>91</v>
      </c>
      <c r="C25" s="821">
        <v>1</v>
      </c>
      <c r="D25" s="23"/>
      <c r="E25" s="26"/>
      <c r="F25" s="116"/>
      <c r="I25" s="388"/>
    </row>
    <row r="26" spans="1:9" s="107" customFormat="1" ht="12.75" customHeight="1" hidden="1">
      <c r="A26" s="13" t="s">
        <v>38</v>
      </c>
      <c r="B26" s="25" t="s">
        <v>370</v>
      </c>
      <c r="C26" s="821">
        <v>1</v>
      </c>
      <c r="D26" s="23"/>
      <c r="E26" s="26"/>
      <c r="F26" s="116"/>
      <c r="I26" s="388"/>
    </row>
    <row r="27" spans="1:9" s="184" customFormat="1" ht="12.75" customHeight="1" hidden="1">
      <c r="A27" s="13" t="s">
        <v>93</v>
      </c>
      <c r="B27" s="25" t="s">
        <v>92</v>
      </c>
      <c r="C27" s="821">
        <v>1</v>
      </c>
      <c r="D27" s="23"/>
      <c r="E27" s="26"/>
      <c r="F27" s="24"/>
      <c r="I27" s="388"/>
    </row>
    <row r="28" spans="1:9" s="184" customFormat="1" ht="12.75" customHeight="1">
      <c r="A28" s="12" t="s">
        <v>111</v>
      </c>
      <c r="B28" s="33" t="s">
        <v>112</v>
      </c>
      <c r="C28" s="33">
        <f>SUM(C29:C34)</f>
        <v>12730786</v>
      </c>
      <c r="D28" s="23"/>
      <c r="E28" s="26"/>
      <c r="F28" s="24"/>
      <c r="I28" s="388"/>
    </row>
    <row r="29" spans="1:9" s="107" customFormat="1" ht="12.75" customHeight="1" hidden="1">
      <c r="A29" s="13" t="s">
        <v>43</v>
      </c>
      <c r="B29" s="25" t="s">
        <v>39</v>
      </c>
      <c r="C29" s="821">
        <v>9693007</v>
      </c>
      <c r="D29" s="23"/>
      <c r="E29" s="26"/>
      <c r="F29" s="116"/>
      <c r="I29" s="388"/>
    </row>
    <row r="30" spans="1:9" s="184" customFormat="1" ht="12.75" customHeight="1" hidden="1">
      <c r="A30" s="13" t="s">
        <v>44</v>
      </c>
      <c r="B30" s="25" t="s">
        <v>41</v>
      </c>
      <c r="C30" s="821">
        <f>1789154+402559</f>
        <v>2191713</v>
      </c>
      <c r="D30" s="23"/>
      <c r="E30" s="26"/>
      <c r="F30" s="116"/>
      <c r="I30" s="388"/>
    </row>
    <row r="31" spans="1:9" s="184" customFormat="1" ht="12.75" customHeight="1" hidden="1">
      <c r="A31" s="13" t="s">
        <v>45</v>
      </c>
      <c r="B31" s="25" t="s">
        <v>94</v>
      </c>
      <c r="C31" s="821">
        <f>404145+16503</f>
        <v>420648</v>
      </c>
      <c r="D31" s="23"/>
      <c r="E31" s="26"/>
      <c r="F31" s="116"/>
      <c r="I31" s="388"/>
    </row>
    <row r="32" spans="1:9" s="184" customFormat="1" ht="12.75" customHeight="1" hidden="1">
      <c r="A32" s="13" t="s">
        <v>46</v>
      </c>
      <c r="B32" s="25" t="s">
        <v>95</v>
      </c>
      <c r="C32" s="821">
        <v>1</v>
      </c>
      <c r="D32" s="23"/>
      <c r="E32" s="26"/>
      <c r="F32" s="116"/>
      <c r="I32" s="388"/>
    </row>
    <row r="33" spans="1:9" s="107" customFormat="1" ht="12.75" customHeight="1" hidden="1">
      <c r="A33" s="13" t="s">
        <v>47</v>
      </c>
      <c r="B33" s="25" t="s">
        <v>40</v>
      </c>
      <c r="C33" s="821">
        <f>26600+398816</f>
        <v>425416</v>
      </c>
      <c r="D33" s="23"/>
      <c r="E33" s="26"/>
      <c r="F33" s="116"/>
      <c r="I33" s="388"/>
    </row>
    <row r="34" spans="1:9" s="184" customFormat="1" ht="12.75" customHeight="1" hidden="1">
      <c r="A34" s="13" t="s">
        <v>48</v>
      </c>
      <c r="B34" s="25" t="s">
        <v>42</v>
      </c>
      <c r="C34" s="821">
        <v>1</v>
      </c>
      <c r="D34" s="23"/>
      <c r="E34" s="26"/>
      <c r="F34" s="24"/>
      <c r="I34" s="388"/>
    </row>
    <row r="35" spans="1:11" s="393" customFormat="1" ht="13.5" customHeight="1" thickBot="1">
      <c r="A35" s="106"/>
      <c r="B35" s="106"/>
      <c r="C35" s="25"/>
      <c r="D35" s="389"/>
      <c r="E35" s="25"/>
      <c r="F35" s="390"/>
      <c r="G35" s="391"/>
      <c r="H35" s="391"/>
      <c r="I35" s="392"/>
      <c r="J35" s="391"/>
      <c r="K35" s="391"/>
    </row>
    <row r="36" spans="1:9" s="397" customFormat="1" ht="13.5" customHeight="1" thickBot="1">
      <c r="A36" s="969" t="s">
        <v>2</v>
      </c>
      <c r="B36" s="970"/>
      <c r="C36" s="394">
        <f>C37+C39+C42+C44+C46+C48+C50</f>
        <v>121938</v>
      </c>
      <c r="D36" s="395"/>
      <c r="F36" s="396"/>
      <c r="I36" s="398"/>
    </row>
    <row r="37" spans="1:9" s="400" customFormat="1" ht="13.5" customHeight="1">
      <c r="A37" s="12" t="s">
        <v>113</v>
      </c>
      <c r="B37" s="817" t="s">
        <v>114</v>
      </c>
      <c r="C37" s="490">
        <f>SUM(C38)</f>
        <v>25350</v>
      </c>
      <c r="D37" s="399"/>
      <c r="E37" s="399"/>
      <c r="F37" s="142"/>
      <c r="I37" s="401"/>
    </row>
    <row r="38" spans="1:9" s="13" customFormat="1" ht="13.5" customHeight="1" hidden="1">
      <c r="A38" s="13" t="s">
        <v>50</v>
      </c>
      <c r="B38" s="107" t="s">
        <v>49</v>
      </c>
      <c r="C38" s="821">
        <v>25350</v>
      </c>
      <c r="D38" s="137"/>
      <c r="E38" s="33"/>
      <c r="G38" s="25"/>
      <c r="I38" s="402"/>
    </row>
    <row r="39" spans="1:9" s="13" customFormat="1" ht="13.5" customHeight="1">
      <c r="A39" s="12" t="s">
        <v>115</v>
      </c>
      <c r="B39" s="353" t="s">
        <v>116</v>
      </c>
      <c r="C39" s="33">
        <f>SUM(C40:C41)</f>
        <v>17900</v>
      </c>
      <c r="D39" s="137"/>
      <c r="E39" s="33"/>
      <c r="G39" s="25"/>
      <c r="I39" s="402"/>
    </row>
    <row r="40" spans="1:9" s="13" customFormat="1" ht="13.5" customHeight="1" hidden="1">
      <c r="A40" s="13" t="s">
        <v>72</v>
      </c>
      <c r="B40" s="107" t="s">
        <v>73</v>
      </c>
      <c r="C40" s="821">
        <v>7500</v>
      </c>
      <c r="D40" s="23"/>
      <c r="E40" s="33"/>
      <c r="G40" s="25"/>
      <c r="I40" s="402"/>
    </row>
    <row r="41" spans="1:9" s="13" customFormat="1" ht="13.5" customHeight="1" hidden="1">
      <c r="A41" s="13" t="s">
        <v>96</v>
      </c>
      <c r="B41" s="107" t="s">
        <v>71</v>
      </c>
      <c r="C41" s="821">
        <v>10400</v>
      </c>
      <c r="D41" s="23"/>
      <c r="E41" s="33"/>
      <c r="G41" s="25"/>
      <c r="I41" s="402"/>
    </row>
    <row r="42" spans="1:9" s="13" customFormat="1" ht="13.5" customHeight="1">
      <c r="A42" s="12" t="s">
        <v>117</v>
      </c>
      <c r="B42" s="353" t="s">
        <v>118</v>
      </c>
      <c r="C42" s="33">
        <f>SUM(C43)</f>
        <v>26450</v>
      </c>
      <c r="D42" s="23"/>
      <c r="E42" s="33"/>
      <c r="G42" s="25"/>
      <c r="I42" s="402"/>
    </row>
    <row r="43" spans="1:9" s="107" customFormat="1" ht="13.5" customHeight="1" hidden="1">
      <c r="A43" s="13" t="s">
        <v>51</v>
      </c>
      <c r="B43" s="24" t="s">
        <v>52</v>
      </c>
      <c r="C43" s="821">
        <v>26450</v>
      </c>
      <c r="D43" s="115"/>
      <c r="E43" s="26"/>
      <c r="F43" s="142"/>
      <c r="G43" s="25"/>
      <c r="H43" s="13"/>
      <c r="I43" s="388"/>
    </row>
    <row r="44" spans="1:9" s="107" customFormat="1" ht="13.5" customHeight="1">
      <c r="A44" s="12" t="s">
        <v>219</v>
      </c>
      <c r="B44" s="26" t="s">
        <v>218</v>
      </c>
      <c r="C44" s="26">
        <f>SUM(C45)</f>
        <v>14800</v>
      </c>
      <c r="D44" s="115"/>
      <c r="E44" s="26"/>
      <c r="F44" s="142"/>
      <c r="G44" s="25"/>
      <c r="H44" s="13"/>
      <c r="I44" s="388"/>
    </row>
    <row r="45" spans="1:9" s="5" customFormat="1" ht="13.5" hidden="1">
      <c r="A45" s="13" t="s">
        <v>217</v>
      </c>
      <c r="B45" s="107" t="s">
        <v>252</v>
      </c>
      <c r="C45" s="821">
        <v>14800</v>
      </c>
      <c r="D45" s="22"/>
      <c r="E45" s="22"/>
      <c r="F45" s="107"/>
      <c r="I45" s="403"/>
    </row>
    <row r="46" spans="1:9" s="5" customFormat="1" ht="13.5">
      <c r="A46" s="353" t="s">
        <v>129</v>
      </c>
      <c r="B46" s="353" t="s">
        <v>119</v>
      </c>
      <c r="C46" s="26">
        <f>SUM(C47)</f>
        <v>4610</v>
      </c>
      <c r="D46" s="22"/>
      <c r="E46" s="22"/>
      <c r="F46" s="107"/>
      <c r="I46" s="403"/>
    </row>
    <row r="47" spans="1:9" s="107" customFormat="1" ht="13.5" customHeight="1" hidden="1">
      <c r="A47" s="107" t="s">
        <v>168</v>
      </c>
      <c r="B47" s="24" t="s">
        <v>74</v>
      </c>
      <c r="C47" s="821">
        <v>4610</v>
      </c>
      <c r="D47" s="115"/>
      <c r="E47" s="26"/>
      <c r="F47" s="142"/>
      <c r="G47" s="25"/>
      <c r="H47" s="13"/>
      <c r="I47" s="388"/>
    </row>
    <row r="48" spans="1:9" s="107" customFormat="1" ht="13.5" customHeight="1">
      <c r="A48" s="353" t="s">
        <v>134</v>
      </c>
      <c r="B48" s="26" t="s">
        <v>133</v>
      </c>
      <c r="C48" s="26">
        <f>SUM(C49)</f>
        <v>12288</v>
      </c>
      <c r="D48" s="115"/>
      <c r="E48" s="26"/>
      <c r="F48" s="142"/>
      <c r="G48" s="25"/>
      <c r="H48" s="13"/>
      <c r="I48" s="388"/>
    </row>
    <row r="49" spans="1:9" s="107" customFormat="1" ht="13.5" customHeight="1" hidden="1">
      <c r="A49" s="107" t="s">
        <v>103</v>
      </c>
      <c r="B49" s="24" t="s">
        <v>78</v>
      </c>
      <c r="C49" s="821">
        <v>12288</v>
      </c>
      <c r="D49" s="115"/>
      <c r="E49" s="26"/>
      <c r="F49" s="142"/>
      <c r="G49" s="25"/>
      <c r="H49" s="13"/>
      <c r="I49" s="388"/>
    </row>
    <row r="50" spans="1:9" s="107" customFormat="1" ht="13.5" customHeight="1">
      <c r="A50" s="353" t="s">
        <v>169</v>
      </c>
      <c r="B50" s="26" t="s">
        <v>144</v>
      </c>
      <c r="C50" s="26">
        <f>SUM(C51:C53)</f>
        <v>20540</v>
      </c>
      <c r="D50" s="115"/>
      <c r="E50" s="26"/>
      <c r="F50" s="142"/>
      <c r="G50" s="25"/>
      <c r="H50" s="13"/>
      <c r="I50" s="388"/>
    </row>
    <row r="51" spans="1:9" s="107" customFormat="1" ht="13.5" customHeight="1" hidden="1">
      <c r="A51" s="107" t="s">
        <v>170</v>
      </c>
      <c r="B51" s="24" t="s">
        <v>70</v>
      </c>
      <c r="C51" s="821">
        <v>6100</v>
      </c>
      <c r="D51" s="115"/>
      <c r="E51" s="26"/>
      <c r="F51" s="142"/>
      <c r="G51" s="25"/>
      <c r="H51" s="13"/>
      <c r="I51" s="388"/>
    </row>
    <row r="52" spans="1:9" s="107" customFormat="1" ht="13.5" customHeight="1" hidden="1">
      <c r="A52" s="107" t="s">
        <v>171</v>
      </c>
      <c r="B52" s="24" t="s">
        <v>75</v>
      </c>
      <c r="C52" s="821">
        <v>7680</v>
      </c>
      <c r="D52" s="115"/>
      <c r="E52" s="26"/>
      <c r="F52" s="404"/>
      <c r="G52" s="25"/>
      <c r="H52" s="176"/>
      <c r="I52" s="388"/>
    </row>
    <row r="53" spans="1:9" s="397" customFormat="1" ht="13.5" customHeight="1" hidden="1">
      <c r="A53" s="107" t="s">
        <v>173</v>
      </c>
      <c r="B53" s="24" t="s">
        <v>144</v>
      </c>
      <c r="C53" s="821">
        <v>6760</v>
      </c>
      <c r="D53" s="395"/>
      <c r="E53" s="396"/>
      <c r="F53" s="353"/>
      <c r="I53" s="398"/>
    </row>
    <row r="54" spans="1:9" s="397" customFormat="1" ht="13.5" customHeight="1" thickBot="1">
      <c r="A54" s="107"/>
      <c r="B54" s="24"/>
      <c r="C54" s="24"/>
      <c r="D54" s="395"/>
      <c r="E54" s="396"/>
      <c r="F54" s="353"/>
      <c r="I54" s="398"/>
    </row>
    <row r="55" spans="1:9" s="397" customFormat="1" ht="13.5" customHeight="1" thickBot="1">
      <c r="A55" s="971" t="s">
        <v>3</v>
      </c>
      <c r="B55" s="972"/>
      <c r="C55" s="405">
        <f>C56+C58+C60+C63+C66+C68</f>
        <v>236550</v>
      </c>
      <c r="D55" s="395"/>
      <c r="F55" s="396"/>
      <c r="I55" s="398"/>
    </row>
    <row r="56" spans="1:9" s="400" customFormat="1" ht="13.5" customHeight="1">
      <c r="A56" s="12" t="s">
        <v>120</v>
      </c>
      <c r="B56" s="817" t="s">
        <v>121</v>
      </c>
      <c r="C56" s="490">
        <f>SUM(C57)</f>
        <v>10500</v>
      </c>
      <c r="D56" s="399"/>
      <c r="E56" s="399"/>
      <c r="F56" s="142"/>
      <c r="I56" s="401"/>
    </row>
    <row r="57" spans="1:9" s="107" customFormat="1" ht="13.5" customHeight="1" hidden="1">
      <c r="A57" s="13" t="s">
        <v>57</v>
      </c>
      <c r="B57" s="13" t="s">
        <v>18</v>
      </c>
      <c r="C57" s="821">
        <v>10500</v>
      </c>
      <c r="D57" s="116"/>
      <c r="E57" s="26"/>
      <c r="F57" s="142"/>
      <c r="G57" s="25"/>
      <c r="H57" s="13"/>
      <c r="I57" s="388"/>
    </row>
    <row r="58" spans="1:9" s="107" customFormat="1" ht="13.5" customHeight="1">
      <c r="A58" s="12" t="s">
        <v>130</v>
      </c>
      <c r="B58" s="12" t="s">
        <v>131</v>
      </c>
      <c r="C58" s="33">
        <f>SUM(C59)</f>
        <v>22400</v>
      </c>
      <c r="D58" s="116"/>
      <c r="E58" s="26"/>
      <c r="F58" s="142"/>
      <c r="G58" s="25"/>
      <c r="H58" s="13"/>
      <c r="I58" s="388"/>
    </row>
    <row r="59" spans="1:9" s="208" customFormat="1" ht="13.5" hidden="1">
      <c r="A59" s="13" t="s">
        <v>148</v>
      </c>
      <c r="B59" s="13" t="s">
        <v>77</v>
      </c>
      <c r="C59" s="821">
        <v>22400</v>
      </c>
      <c r="D59" s="33"/>
      <c r="E59" s="172"/>
      <c r="F59" s="25"/>
      <c r="I59" s="407"/>
    </row>
    <row r="60" spans="1:9" s="208" customFormat="1" ht="13.5">
      <c r="A60" s="12" t="s">
        <v>122</v>
      </c>
      <c r="B60" s="12" t="s">
        <v>175</v>
      </c>
      <c r="C60" s="33">
        <f>SUM(C61:C62)</f>
        <v>26500</v>
      </c>
      <c r="D60" s="33"/>
      <c r="E60" s="172"/>
      <c r="F60" s="25"/>
      <c r="I60" s="407"/>
    </row>
    <row r="61" spans="1:9" s="208" customFormat="1" ht="13.5" hidden="1">
      <c r="A61" s="13" t="s">
        <v>150</v>
      </c>
      <c r="B61" s="13" t="s">
        <v>149</v>
      </c>
      <c r="C61" s="821">
        <v>6500</v>
      </c>
      <c r="D61" s="25"/>
      <c r="E61" s="172"/>
      <c r="F61" s="25"/>
      <c r="I61" s="407"/>
    </row>
    <row r="62" spans="1:9" s="208" customFormat="1" ht="13.5" hidden="1">
      <c r="A62" s="13" t="s">
        <v>53</v>
      </c>
      <c r="B62" s="25" t="s">
        <v>97</v>
      </c>
      <c r="C62" s="821">
        <v>20000</v>
      </c>
      <c r="D62" s="25"/>
      <c r="E62" s="172"/>
      <c r="F62" s="25"/>
      <c r="I62" s="407"/>
    </row>
    <row r="63" spans="1:9" s="208" customFormat="1" ht="13.5">
      <c r="A63" s="12" t="s">
        <v>123</v>
      </c>
      <c r="B63" s="33" t="s">
        <v>124</v>
      </c>
      <c r="C63" s="33">
        <f>SUM(C64:C65)</f>
        <v>9000</v>
      </c>
      <c r="D63" s="25"/>
      <c r="E63" s="172"/>
      <c r="F63" s="25"/>
      <c r="I63" s="407"/>
    </row>
    <row r="64" spans="1:9" s="208" customFormat="1" ht="13.5" hidden="1">
      <c r="A64" s="13" t="s">
        <v>184</v>
      </c>
      <c r="B64" s="13" t="s">
        <v>83</v>
      </c>
      <c r="C64" s="821">
        <v>4500</v>
      </c>
      <c r="D64" s="25"/>
      <c r="E64" s="172"/>
      <c r="F64" s="25"/>
      <c r="I64" s="407"/>
    </row>
    <row r="65" spans="1:9" s="208" customFormat="1" ht="13.5" hidden="1">
      <c r="A65" s="13" t="s">
        <v>98</v>
      </c>
      <c r="B65" s="25" t="s">
        <v>69</v>
      </c>
      <c r="C65" s="821">
        <v>4500</v>
      </c>
      <c r="D65" s="26"/>
      <c r="E65" s="46"/>
      <c r="F65" s="25"/>
      <c r="I65" s="407"/>
    </row>
    <row r="66" spans="1:9" s="208" customFormat="1" ht="13.5">
      <c r="A66" s="12" t="s">
        <v>143</v>
      </c>
      <c r="B66" s="12" t="s">
        <v>61</v>
      </c>
      <c r="C66" s="33">
        <f>SUM(C67)</f>
        <v>7000</v>
      </c>
      <c r="D66" s="26"/>
      <c r="E66" s="46"/>
      <c r="F66" s="25"/>
      <c r="I66" s="407"/>
    </row>
    <row r="67" spans="1:9" s="208" customFormat="1" ht="13.5" hidden="1">
      <c r="A67" s="13" t="s">
        <v>60</v>
      </c>
      <c r="B67" s="13" t="s">
        <v>61</v>
      </c>
      <c r="C67" s="821">
        <v>7000</v>
      </c>
      <c r="D67" s="33"/>
      <c r="E67" s="172"/>
      <c r="F67" s="25"/>
      <c r="I67" s="407"/>
    </row>
    <row r="68" spans="1:9" s="208" customFormat="1" ht="13.5">
      <c r="A68" s="12" t="s">
        <v>125</v>
      </c>
      <c r="B68" s="33" t="s">
        <v>8</v>
      </c>
      <c r="C68" s="33">
        <f>SUM(C69:C73)</f>
        <v>161150</v>
      </c>
      <c r="D68" s="33"/>
      <c r="E68" s="172"/>
      <c r="F68" s="25"/>
      <c r="I68" s="407"/>
    </row>
    <row r="69" spans="1:11" s="5" customFormat="1" ht="13.5" hidden="1">
      <c r="A69" s="13" t="s">
        <v>99</v>
      </c>
      <c r="B69" s="25" t="s">
        <v>8</v>
      </c>
      <c r="C69" s="821">
        <v>88200</v>
      </c>
      <c r="D69" s="115"/>
      <c r="E69" s="26"/>
      <c r="F69" s="314"/>
      <c r="G69" s="25"/>
      <c r="H69" s="25"/>
      <c r="I69" s="388"/>
      <c r="J69" s="107"/>
      <c r="K69" s="107"/>
    </row>
    <row r="70" spans="1:9" s="5" customFormat="1" ht="13.5" hidden="1">
      <c r="A70" s="13" t="s">
        <v>205</v>
      </c>
      <c r="B70" s="25" t="s">
        <v>54</v>
      </c>
      <c r="C70" s="821">
        <v>49500</v>
      </c>
      <c r="D70" s="25"/>
      <c r="E70" s="172"/>
      <c r="F70" s="25"/>
      <c r="I70" s="403"/>
    </row>
    <row r="71" spans="1:11" s="107" customFormat="1" ht="13.5" customHeight="1" hidden="1">
      <c r="A71" s="107" t="s">
        <v>268</v>
      </c>
      <c r="B71" s="25" t="s">
        <v>267</v>
      </c>
      <c r="C71" s="821">
        <v>10200</v>
      </c>
      <c r="D71" s="379"/>
      <c r="E71" s="379"/>
      <c r="F71" s="353"/>
      <c r="G71" s="385"/>
      <c r="H71" s="385"/>
      <c r="I71" s="386"/>
      <c r="J71" s="385"/>
      <c r="K71" s="385"/>
    </row>
    <row r="72" spans="1:11" s="107" customFormat="1" ht="13.5" customHeight="1" hidden="1">
      <c r="A72" s="13" t="s">
        <v>266</v>
      </c>
      <c r="B72" s="57" t="s">
        <v>265</v>
      </c>
      <c r="C72" s="822">
        <v>10200</v>
      </c>
      <c r="D72" s="379"/>
      <c r="E72" s="379"/>
      <c r="F72" s="353"/>
      <c r="G72" s="385"/>
      <c r="H72" s="385"/>
      <c r="I72" s="386"/>
      <c r="J72" s="385"/>
      <c r="K72" s="385"/>
    </row>
    <row r="73" spans="1:11" s="385" customFormat="1" ht="13.5" customHeight="1" hidden="1">
      <c r="A73" s="13" t="s">
        <v>100</v>
      </c>
      <c r="B73" s="25" t="s">
        <v>7</v>
      </c>
      <c r="C73" s="821">
        <v>3050</v>
      </c>
      <c r="D73" s="25"/>
      <c r="E73" s="172"/>
      <c r="F73" s="25"/>
      <c r="G73" s="5"/>
      <c r="H73" s="5"/>
      <c r="I73" s="403"/>
      <c r="J73" s="5"/>
      <c r="K73" s="5"/>
    </row>
    <row r="74" spans="1:9" s="385" customFormat="1" ht="13.5" customHeight="1" thickBot="1">
      <c r="A74" s="13"/>
      <c r="B74" s="13"/>
      <c r="C74" s="25"/>
      <c r="D74" s="379"/>
      <c r="E74" s="379"/>
      <c r="F74" s="353"/>
      <c r="I74" s="386"/>
    </row>
    <row r="75" spans="1:9" s="397" customFormat="1" ht="13.5" customHeight="1" thickBot="1">
      <c r="A75" s="973" t="s">
        <v>4</v>
      </c>
      <c r="B75" s="974"/>
      <c r="C75" s="408">
        <f>C76+C78+C80</f>
        <v>28350</v>
      </c>
      <c r="D75" s="395"/>
      <c r="F75" s="396"/>
      <c r="I75" s="398"/>
    </row>
    <row r="76" spans="1:9" s="400" customFormat="1" ht="13.5" customHeight="1">
      <c r="A76" s="353" t="s">
        <v>126</v>
      </c>
      <c r="B76" s="817" t="s">
        <v>127</v>
      </c>
      <c r="C76" s="490">
        <f>SUM(C77)</f>
        <v>9350</v>
      </c>
      <c r="D76" s="399"/>
      <c r="E76" s="399"/>
      <c r="F76" s="142"/>
      <c r="I76" s="401"/>
    </row>
    <row r="77" spans="1:9" s="5" customFormat="1" ht="13.5" hidden="1">
      <c r="A77" s="107" t="s">
        <v>101</v>
      </c>
      <c r="B77" s="107" t="s">
        <v>152</v>
      </c>
      <c r="C77" s="821">
        <v>9350</v>
      </c>
      <c r="D77" s="22"/>
      <c r="E77" s="22"/>
      <c r="F77" s="107"/>
      <c r="I77" s="403"/>
    </row>
    <row r="78" spans="1:9" s="5" customFormat="1" ht="13.5">
      <c r="A78" s="353" t="s">
        <v>142</v>
      </c>
      <c r="B78" s="353" t="s">
        <v>371</v>
      </c>
      <c r="C78" s="33">
        <f>SUM(C79)</f>
        <v>15500</v>
      </c>
      <c r="D78" s="22"/>
      <c r="E78" s="22"/>
      <c r="F78" s="107"/>
      <c r="I78" s="403"/>
    </row>
    <row r="79" spans="1:9" s="5" customFormat="1" ht="13.5" hidden="1">
      <c r="A79" s="107" t="s">
        <v>185</v>
      </c>
      <c r="B79" s="107" t="s">
        <v>371</v>
      </c>
      <c r="C79" s="821">
        <v>15500</v>
      </c>
      <c r="D79" s="22"/>
      <c r="E79" s="22"/>
      <c r="F79" s="107"/>
      <c r="I79" s="403"/>
    </row>
    <row r="80" spans="1:9" s="5" customFormat="1" ht="13.5">
      <c r="A80" s="353" t="s">
        <v>188</v>
      </c>
      <c r="B80" s="26" t="s">
        <v>145</v>
      </c>
      <c r="C80" s="26">
        <f>SUM(C81)</f>
        <v>3500</v>
      </c>
      <c r="D80" s="22"/>
      <c r="E80" s="22"/>
      <c r="F80" s="107"/>
      <c r="I80" s="403"/>
    </row>
    <row r="81" spans="1:9" s="5" customFormat="1" ht="13.5" hidden="1">
      <c r="A81" s="107" t="s">
        <v>189</v>
      </c>
      <c r="B81" s="24" t="s">
        <v>56</v>
      </c>
      <c r="C81" s="821">
        <v>3500</v>
      </c>
      <c r="D81" s="22"/>
      <c r="E81" s="22"/>
      <c r="F81" s="107"/>
      <c r="I81" s="403"/>
    </row>
    <row r="82" spans="1:9" s="354" customFormat="1" ht="13.5" customHeight="1">
      <c r="A82" s="378"/>
      <c r="B82" s="378"/>
      <c r="C82" s="379"/>
      <c r="D82" s="409"/>
      <c r="E82" s="406"/>
      <c r="F82" s="410"/>
      <c r="I82" s="355"/>
    </row>
    <row r="83" spans="1:9" s="182" customFormat="1" ht="13.5" customHeight="1" thickBot="1">
      <c r="A83" s="190"/>
      <c r="B83" s="190"/>
      <c r="C83" s="411"/>
      <c r="D83" s="383"/>
      <c r="E83" s="411"/>
      <c r="F83" s="353"/>
      <c r="I83" s="381"/>
    </row>
    <row r="84" spans="1:9" s="414" customFormat="1" ht="13.5" customHeight="1">
      <c r="A84" s="356" t="s">
        <v>372</v>
      </c>
      <c r="B84" s="357"/>
      <c r="C84" s="412"/>
      <c r="D84" s="413" t="s">
        <v>6</v>
      </c>
      <c r="E84" s="360">
        <v>1302</v>
      </c>
      <c r="F84" s="353"/>
      <c r="I84" s="415"/>
    </row>
    <row r="85" spans="1:9" s="414" customFormat="1" ht="13.5" customHeight="1" thickBot="1">
      <c r="A85" s="361"/>
      <c r="B85" s="362"/>
      <c r="C85" s="416"/>
      <c r="D85" s="417"/>
      <c r="E85" s="365"/>
      <c r="F85" s="353"/>
      <c r="I85" s="415"/>
    </row>
    <row r="86" spans="1:9" s="422" customFormat="1" ht="13.5" customHeight="1">
      <c r="A86" s="261" t="s">
        <v>373</v>
      </c>
      <c r="B86" s="418"/>
      <c r="C86" s="419"/>
      <c r="D86" s="420"/>
      <c r="E86" s="421"/>
      <c r="F86" s="353"/>
      <c r="I86" s="423"/>
    </row>
    <row r="87" spans="1:9" s="422" customFormat="1" ht="13.5" customHeight="1">
      <c r="A87" s="261" t="s">
        <v>374</v>
      </c>
      <c r="B87" s="418"/>
      <c r="C87" s="419"/>
      <c r="D87" s="420"/>
      <c r="E87" s="421"/>
      <c r="F87" s="353"/>
      <c r="I87" s="423"/>
    </row>
    <row r="88" spans="1:9" s="422" customFormat="1" ht="13.5" customHeight="1">
      <c r="A88" s="261" t="s">
        <v>375</v>
      </c>
      <c r="B88" s="418"/>
      <c r="C88" s="419"/>
      <c r="D88" s="420"/>
      <c r="E88" s="421"/>
      <c r="F88" s="353"/>
      <c r="I88" s="423"/>
    </row>
    <row r="89" spans="1:9" s="422" customFormat="1" ht="13.5" customHeight="1">
      <c r="A89" s="261" t="s">
        <v>376</v>
      </c>
      <c r="B89" s="418"/>
      <c r="C89" s="419"/>
      <c r="D89" s="420"/>
      <c r="E89" s="421"/>
      <c r="F89" s="353"/>
      <c r="I89" s="423"/>
    </row>
    <row r="90" spans="1:9" s="182" customFormat="1" ht="13.5" customHeight="1">
      <c r="A90" s="45" t="s">
        <v>377</v>
      </c>
      <c r="B90" s="208"/>
      <c r="C90" s="172"/>
      <c r="D90" s="172"/>
      <c r="E90" s="421"/>
      <c r="F90" s="353"/>
      <c r="G90" s="424"/>
      <c r="I90" s="381"/>
    </row>
    <row r="91" spans="1:9" s="182" customFormat="1" ht="13.5" customHeight="1">
      <c r="A91" s="45" t="s">
        <v>378</v>
      </c>
      <c r="B91" s="208"/>
      <c r="C91" s="172"/>
      <c r="D91" s="172"/>
      <c r="E91" s="421"/>
      <c r="F91" s="353"/>
      <c r="G91" s="424"/>
      <c r="I91" s="381"/>
    </row>
    <row r="92" spans="1:9" s="182" customFormat="1" ht="13.5" customHeight="1">
      <c r="A92" s="425" t="s">
        <v>379</v>
      </c>
      <c r="B92" s="208"/>
      <c r="C92" s="172"/>
      <c r="D92" s="172"/>
      <c r="E92" s="421"/>
      <c r="F92" s="353"/>
      <c r="G92" s="424"/>
      <c r="I92" s="381"/>
    </row>
    <row r="93" spans="1:9" s="182" customFormat="1" ht="13.5" customHeight="1">
      <c r="A93" s="261" t="s">
        <v>380</v>
      </c>
      <c r="B93" s="418"/>
      <c r="C93" s="419"/>
      <c r="D93" s="420"/>
      <c r="E93" s="421"/>
      <c r="F93" s="353"/>
      <c r="G93" s="424"/>
      <c r="I93" s="381"/>
    </row>
    <row r="94" spans="1:9" s="182" customFormat="1" ht="13.5" customHeight="1">
      <c r="A94" s="261" t="s">
        <v>381</v>
      </c>
      <c r="B94" s="418"/>
      <c r="C94" s="419"/>
      <c r="D94" s="420"/>
      <c r="E94" s="421"/>
      <c r="F94" s="353"/>
      <c r="G94" s="424"/>
      <c r="I94" s="381"/>
    </row>
    <row r="95" spans="1:9" s="182" customFormat="1" ht="13.5" customHeight="1" thickBot="1">
      <c r="A95" s="361" t="s">
        <v>382</v>
      </c>
      <c r="B95" s="362"/>
      <c r="C95" s="416"/>
      <c r="D95" s="426"/>
      <c r="E95" s="427"/>
      <c r="F95" s="353"/>
      <c r="G95" s="424"/>
      <c r="I95" s="381"/>
    </row>
    <row r="96" spans="1:9" s="182" customFormat="1" ht="13.5" customHeight="1">
      <c r="A96" s="371" t="s">
        <v>1365</v>
      </c>
      <c r="B96" s="69"/>
      <c r="C96" s="411"/>
      <c r="D96" s="383"/>
      <c r="E96" s="428"/>
      <c r="F96" s="353"/>
      <c r="I96" s="381"/>
    </row>
    <row r="97" spans="1:9" s="182" customFormat="1" ht="13.5" customHeight="1">
      <c r="A97" s="371" t="s">
        <v>383</v>
      </c>
      <c r="B97" s="69"/>
      <c r="C97" s="411"/>
      <c r="D97" s="383"/>
      <c r="E97" s="428"/>
      <c r="F97" s="353"/>
      <c r="I97" s="381"/>
    </row>
    <row r="98" spans="1:9" s="182" customFormat="1" ht="13.5" customHeight="1">
      <c r="A98" s="371" t="s">
        <v>1421</v>
      </c>
      <c r="B98" s="69"/>
      <c r="C98" s="411"/>
      <c r="D98" s="383"/>
      <c r="E98" s="428"/>
      <c r="F98" s="353"/>
      <c r="I98" s="381"/>
    </row>
    <row r="99" spans="1:9" s="182" customFormat="1" ht="13.5" customHeight="1" thickBot="1">
      <c r="A99" s="371" t="s">
        <v>384</v>
      </c>
      <c r="B99" s="69"/>
      <c r="C99" s="411"/>
      <c r="D99" s="383"/>
      <c r="E99" s="428"/>
      <c r="F99" s="353"/>
      <c r="I99" s="381"/>
    </row>
    <row r="100" spans="1:9" s="429" customFormat="1" ht="13.5" customHeight="1" thickBot="1">
      <c r="A100" s="373" t="s">
        <v>0</v>
      </c>
      <c r="B100" s="374"/>
      <c r="C100" s="375"/>
      <c r="D100" s="376"/>
      <c r="E100" s="377">
        <f>+C102+C132+C157</f>
        <v>131882428.996</v>
      </c>
      <c r="F100" s="26"/>
      <c r="I100" s="430"/>
    </row>
    <row r="101" spans="1:9" s="182" customFormat="1" ht="13.5" customHeight="1" thickBot="1">
      <c r="A101" s="190"/>
      <c r="B101" s="190"/>
      <c r="C101" s="411"/>
      <c r="D101" s="383"/>
      <c r="E101" s="411"/>
      <c r="F101" s="353"/>
      <c r="I101" s="381"/>
    </row>
    <row r="102" spans="1:9" s="182" customFormat="1" ht="13.5" customHeight="1" thickBot="1">
      <c r="A102" s="969" t="s">
        <v>2</v>
      </c>
      <c r="B102" s="970"/>
      <c r="C102" s="394">
        <f>C103+C105+C107+C110+C112+C116+C121+C128</f>
        <v>11046595</v>
      </c>
      <c r="D102" s="383"/>
      <c r="F102" s="819"/>
      <c r="I102" s="381"/>
    </row>
    <row r="103" spans="1:9" s="178" customFormat="1" ht="13.5" customHeight="1">
      <c r="A103" s="12" t="s">
        <v>113</v>
      </c>
      <c r="B103" s="817" t="s">
        <v>114</v>
      </c>
      <c r="C103" s="490">
        <f>SUM(C104)</f>
        <v>521745</v>
      </c>
      <c r="D103" s="399"/>
      <c r="E103" s="399"/>
      <c r="F103" s="142"/>
      <c r="I103" s="431"/>
    </row>
    <row r="104" spans="1:9" s="107" customFormat="1" ht="13.5" customHeight="1" hidden="1">
      <c r="A104" s="13" t="s">
        <v>50</v>
      </c>
      <c r="B104" s="107" t="s">
        <v>49</v>
      </c>
      <c r="C104" s="821">
        <f>496900*1.05</f>
        <v>521745</v>
      </c>
      <c r="D104" s="115"/>
      <c r="E104" s="26"/>
      <c r="F104" s="142"/>
      <c r="G104" s="25"/>
      <c r="H104" s="13"/>
      <c r="I104" s="388"/>
    </row>
    <row r="105" spans="1:9" s="107" customFormat="1" ht="13.5" customHeight="1">
      <c r="A105" s="12" t="s">
        <v>223</v>
      </c>
      <c r="B105" s="812" t="s">
        <v>222</v>
      </c>
      <c r="C105" s="33">
        <f>SUM(C106)</f>
        <v>88560</v>
      </c>
      <c r="D105" s="115"/>
      <c r="E105" s="26"/>
      <c r="F105" s="142"/>
      <c r="G105" s="25"/>
      <c r="H105" s="13"/>
      <c r="I105" s="388"/>
    </row>
    <row r="106" spans="1:9" s="107" customFormat="1" ht="13.5" customHeight="1" hidden="1">
      <c r="A106" s="13" t="s">
        <v>255</v>
      </c>
      <c r="B106" s="57" t="s">
        <v>254</v>
      </c>
      <c r="C106" s="821">
        <f>73800*1.2</f>
        <v>88560</v>
      </c>
      <c r="F106" s="116"/>
      <c r="G106" s="26"/>
      <c r="H106" s="13"/>
      <c r="I106" s="388"/>
    </row>
    <row r="107" spans="1:9" s="13" customFormat="1" ht="13.5" customHeight="1">
      <c r="A107" s="12" t="s">
        <v>115</v>
      </c>
      <c r="B107" s="353" t="s">
        <v>116</v>
      </c>
      <c r="C107" s="33">
        <f>SUM(C108:C109)</f>
        <v>13600</v>
      </c>
      <c r="F107" s="137"/>
      <c r="G107" s="33"/>
      <c r="I107" s="402"/>
    </row>
    <row r="108" spans="1:9" s="13" customFormat="1" ht="13.5" customHeight="1" hidden="1">
      <c r="A108" s="13" t="s">
        <v>72</v>
      </c>
      <c r="B108" s="107" t="s">
        <v>73</v>
      </c>
      <c r="C108" s="821">
        <v>7200</v>
      </c>
      <c r="F108" s="23"/>
      <c r="G108" s="33"/>
      <c r="I108" s="402"/>
    </row>
    <row r="109" spans="1:9" s="13" customFormat="1" ht="13.5" customHeight="1" hidden="1">
      <c r="A109" s="13" t="s">
        <v>96</v>
      </c>
      <c r="B109" s="107" t="s">
        <v>71</v>
      </c>
      <c r="C109" s="821">
        <v>6400</v>
      </c>
      <c r="F109" s="23"/>
      <c r="G109" s="33"/>
      <c r="I109" s="402"/>
    </row>
    <row r="110" spans="1:9" s="107" customFormat="1" ht="13.5" customHeight="1">
      <c r="A110" s="12" t="s">
        <v>117</v>
      </c>
      <c r="B110" s="353" t="s">
        <v>118</v>
      </c>
      <c r="C110" s="33">
        <f>SUM(C111)</f>
        <v>30200</v>
      </c>
      <c r="F110" s="115"/>
      <c r="G110" s="26"/>
      <c r="H110" s="13"/>
      <c r="I110" s="388"/>
    </row>
    <row r="111" spans="1:9" s="107" customFormat="1" ht="13.5" customHeight="1" hidden="1">
      <c r="A111" s="13" t="s">
        <v>51</v>
      </c>
      <c r="B111" s="24" t="s">
        <v>52</v>
      </c>
      <c r="C111" s="821">
        <f>38500*1.2-16000</f>
        <v>30200</v>
      </c>
      <c r="F111" s="26"/>
      <c r="H111" s="13"/>
      <c r="I111" s="388"/>
    </row>
    <row r="112" spans="1:9" s="107" customFormat="1" ht="13.5" customHeight="1">
      <c r="A112" s="12" t="s">
        <v>219</v>
      </c>
      <c r="B112" s="26" t="s">
        <v>218</v>
      </c>
      <c r="C112" s="26">
        <f>SUM(C113:C115)</f>
        <v>4771900</v>
      </c>
      <c r="F112" s="115"/>
      <c r="G112" s="26"/>
      <c r="H112" s="13"/>
      <c r="I112" s="388"/>
    </row>
    <row r="113" spans="1:9" s="184" customFormat="1" ht="12.75" customHeight="1" hidden="1">
      <c r="A113" s="13" t="s">
        <v>217</v>
      </c>
      <c r="B113" s="107" t="s">
        <v>252</v>
      </c>
      <c r="C113" s="821">
        <f>4096000*1.15-235000</f>
        <v>4475400</v>
      </c>
      <c r="F113" s="23"/>
      <c r="G113" s="26"/>
      <c r="I113" s="388"/>
    </row>
    <row r="114" spans="1:9" s="184" customFormat="1" ht="12.75" customHeight="1" hidden="1">
      <c r="A114" s="13" t="s">
        <v>251</v>
      </c>
      <c r="B114" s="107" t="s">
        <v>250</v>
      </c>
      <c r="C114" s="821">
        <v>211500</v>
      </c>
      <c r="F114" s="23"/>
      <c r="G114" s="26"/>
      <c r="I114" s="388"/>
    </row>
    <row r="115" spans="1:9" s="184" customFormat="1" ht="12.75" customHeight="1" hidden="1">
      <c r="A115" s="13" t="s">
        <v>385</v>
      </c>
      <c r="B115" s="57" t="s">
        <v>386</v>
      </c>
      <c r="C115" s="821">
        <f>85000</f>
        <v>85000</v>
      </c>
      <c r="F115" s="23"/>
      <c r="G115" s="26"/>
      <c r="I115" s="388"/>
    </row>
    <row r="116" spans="1:9" s="184" customFormat="1" ht="12.75" customHeight="1">
      <c r="A116" s="353" t="s">
        <v>129</v>
      </c>
      <c r="B116" s="353" t="s">
        <v>119</v>
      </c>
      <c r="C116" s="33">
        <f>SUM(C117:C120)</f>
        <v>2245780</v>
      </c>
      <c r="F116" s="23"/>
      <c r="G116" s="26"/>
      <c r="I116" s="388"/>
    </row>
    <row r="117" spans="1:9" s="13" customFormat="1" ht="13.5" customHeight="1" hidden="1">
      <c r="A117" s="13" t="s">
        <v>214</v>
      </c>
      <c r="B117" s="25" t="s">
        <v>387</v>
      </c>
      <c r="C117" s="821">
        <f>641800*1.1-50000</f>
        <v>655980</v>
      </c>
      <c r="F117" s="23"/>
      <c r="G117" s="33"/>
      <c r="I117" s="402"/>
    </row>
    <row r="118" spans="1:9" s="5" customFormat="1" ht="13.5" hidden="1">
      <c r="A118" s="107" t="s">
        <v>212</v>
      </c>
      <c r="B118" s="107" t="s">
        <v>211</v>
      </c>
      <c r="C118" s="821">
        <f>946500*1.2-300000-85000</f>
        <v>750800</v>
      </c>
      <c r="F118" s="22"/>
      <c r="G118" s="22"/>
      <c r="I118" s="403"/>
    </row>
    <row r="119" spans="1:9" s="5" customFormat="1" ht="13.5" hidden="1">
      <c r="A119" s="107" t="s">
        <v>249</v>
      </c>
      <c r="B119" s="107" t="s">
        <v>248</v>
      </c>
      <c r="C119" s="821">
        <f>460000*1.2+300000-85000</f>
        <v>767000</v>
      </c>
      <c r="F119" s="22"/>
      <c r="G119" s="22"/>
      <c r="I119" s="403"/>
    </row>
    <row r="120" spans="1:9" s="107" customFormat="1" ht="13.5" customHeight="1" hidden="1">
      <c r="A120" s="107" t="s">
        <v>210</v>
      </c>
      <c r="B120" s="107" t="s">
        <v>388</v>
      </c>
      <c r="C120" s="821">
        <v>72000</v>
      </c>
      <c r="G120" s="26"/>
      <c r="H120" s="13"/>
      <c r="I120" s="388"/>
    </row>
    <row r="121" spans="1:9" s="13" customFormat="1" ht="13.5" customHeight="1">
      <c r="A121" s="353" t="s">
        <v>134</v>
      </c>
      <c r="B121" s="26" t="s">
        <v>133</v>
      </c>
      <c r="C121" s="26">
        <f>SUM(C122:C127)</f>
        <v>3137900</v>
      </c>
      <c r="F121" s="23"/>
      <c r="G121" s="33"/>
      <c r="I121" s="402"/>
    </row>
    <row r="122" spans="1:9" s="13" customFormat="1" ht="13.5" customHeight="1" hidden="1">
      <c r="A122" s="107" t="s">
        <v>277</v>
      </c>
      <c r="B122" s="24" t="s">
        <v>276</v>
      </c>
      <c r="C122" s="821">
        <v>61600</v>
      </c>
      <c r="F122" s="23"/>
      <c r="G122" s="33"/>
      <c r="I122" s="402"/>
    </row>
    <row r="123" spans="1:9" s="13" customFormat="1" ht="13.5" customHeight="1" hidden="1">
      <c r="A123" s="13" t="s">
        <v>389</v>
      </c>
      <c r="B123" s="25" t="s">
        <v>390</v>
      </c>
      <c r="C123" s="821">
        <v>610000</v>
      </c>
      <c r="F123" s="137"/>
      <c r="G123" s="33"/>
      <c r="I123" s="402"/>
    </row>
    <row r="124" spans="1:9" s="13" customFormat="1" ht="13.5" customHeight="1" hidden="1">
      <c r="A124" s="13" t="s">
        <v>323</v>
      </c>
      <c r="B124" s="25" t="s">
        <v>324</v>
      </c>
      <c r="C124" s="821">
        <f>1762000*1.1-250000</f>
        <v>1688200.0000000002</v>
      </c>
      <c r="F124" s="116"/>
      <c r="G124" s="22"/>
      <c r="I124" s="402"/>
    </row>
    <row r="125" spans="1:9" s="13" customFormat="1" ht="13.5" customHeight="1" hidden="1">
      <c r="A125" s="107" t="s">
        <v>391</v>
      </c>
      <c r="B125" s="13" t="s">
        <v>392</v>
      </c>
      <c r="C125" s="821">
        <f>473100</f>
        <v>473100</v>
      </c>
      <c r="D125" s="137"/>
      <c r="E125" s="33"/>
      <c r="G125" s="25"/>
      <c r="I125" s="402"/>
    </row>
    <row r="126" spans="1:9" s="5" customFormat="1" ht="13.5" hidden="1">
      <c r="A126" s="107" t="s">
        <v>103</v>
      </c>
      <c r="B126" s="24" t="s">
        <v>78</v>
      </c>
      <c r="C126" s="821">
        <v>155000</v>
      </c>
      <c r="D126" s="22"/>
      <c r="E126" s="22"/>
      <c r="F126" s="107"/>
      <c r="I126" s="403"/>
    </row>
    <row r="127" spans="1:9" s="5" customFormat="1" ht="13.5" hidden="1">
      <c r="A127" s="107" t="s">
        <v>1187</v>
      </c>
      <c r="B127" s="57" t="s">
        <v>1188</v>
      </c>
      <c r="C127" s="821">
        <v>150000</v>
      </c>
      <c r="D127" s="22"/>
      <c r="E127" s="22"/>
      <c r="F127" s="107"/>
      <c r="I127" s="403"/>
    </row>
    <row r="128" spans="1:9" s="5" customFormat="1" ht="13.5">
      <c r="A128" s="353" t="s">
        <v>169</v>
      </c>
      <c r="B128" s="26" t="s">
        <v>144</v>
      </c>
      <c r="C128" s="33">
        <f>SUM(C129:C130)</f>
        <v>236910</v>
      </c>
      <c r="D128" s="22"/>
      <c r="E128" s="22"/>
      <c r="F128" s="107"/>
      <c r="I128" s="403"/>
    </row>
    <row r="129" spans="1:9" s="5" customFormat="1" ht="13.5" hidden="1">
      <c r="A129" s="107" t="s">
        <v>170</v>
      </c>
      <c r="B129" s="24" t="s">
        <v>70</v>
      </c>
      <c r="C129" s="821">
        <f>169300*1.2</f>
        <v>203160</v>
      </c>
      <c r="D129" s="22"/>
      <c r="E129" s="22"/>
      <c r="F129" s="107"/>
      <c r="I129" s="403"/>
    </row>
    <row r="130" spans="1:9" s="13" customFormat="1" ht="13.5" customHeight="1" hidden="1">
      <c r="A130" s="107" t="s">
        <v>173</v>
      </c>
      <c r="B130" s="24" t="s">
        <v>144</v>
      </c>
      <c r="C130" s="821">
        <v>33750</v>
      </c>
      <c r="D130" s="23"/>
      <c r="E130" s="33"/>
      <c r="G130" s="25"/>
      <c r="I130" s="402"/>
    </row>
    <row r="131" spans="1:9" s="182" customFormat="1" ht="13.5" customHeight="1" thickBot="1">
      <c r="A131" s="378"/>
      <c r="B131" s="378"/>
      <c r="C131" s="379"/>
      <c r="D131" s="383"/>
      <c r="E131" s="411"/>
      <c r="F131" s="353"/>
      <c r="I131" s="381"/>
    </row>
    <row r="132" spans="1:9" s="182" customFormat="1" ht="13.5" customHeight="1" thickBot="1">
      <c r="A132" s="971" t="s">
        <v>3</v>
      </c>
      <c r="B132" s="972"/>
      <c r="C132" s="405">
        <f>C133+C137+C143+C149+C152</f>
        <v>119265633.996</v>
      </c>
      <c r="D132" s="24"/>
      <c r="F132" s="569"/>
      <c r="I132" s="381"/>
    </row>
    <row r="133" spans="1:9" s="178" customFormat="1" ht="13.5" customHeight="1">
      <c r="A133" s="12" t="s">
        <v>120</v>
      </c>
      <c r="B133" s="817" t="s">
        <v>121</v>
      </c>
      <c r="C133" s="490">
        <f>SUM(C134:C136)</f>
        <v>2499001</v>
      </c>
      <c r="D133" s="137"/>
      <c r="F133" s="137"/>
      <c r="I133" s="431"/>
    </row>
    <row r="134" spans="1:9" s="107" customFormat="1" ht="13.5" customHeight="1" hidden="1">
      <c r="A134" s="13" t="s">
        <v>393</v>
      </c>
      <c r="B134" s="13" t="s">
        <v>394</v>
      </c>
      <c r="C134" s="821">
        <f>255000*9</f>
        <v>2295000</v>
      </c>
      <c r="D134" s="116"/>
      <c r="F134" s="26"/>
      <c r="G134" s="178"/>
      <c r="H134" s="13"/>
      <c r="I134" s="388"/>
    </row>
    <row r="135" spans="1:9" s="107" customFormat="1" ht="13.5" customHeight="1" hidden="1">
      <c r="A135" s="13" t="s">
        <v>395</v>
      </c>
      <c r="B135" s="13" t="s">
        <v>396</v>
      </c>
      <c r="C135" s="821">
        <v>1</v>
      </c>
      <c r="D135" s="116"/>
      <c r="E135" s="26"/>
      <c r="F135" s="142"/>
      <c r="G135" s="25"/>
      <c r="H135" s="13"/>
      <c r="I135" s="388"/>
    </row>
    <row r="136" spans="1:9" s="107" customFormat="1" ht="13.5" customHeight="1" hidden="1">
      <c r="A136" s="13" t="s">
        <v>57</v>
      </c>
      <c r="B136" s="13" t="s">
        <v>18</v>
      </c>
      <c r="C136" s="821">
        <v>204000</v>
      </c>
      <c r="D136" s="116"/>
      <c r="E136" s="26"/>
      <c r="F136" s="142"/>
      <c r="G136" s="25"/>
      <c r="H136" s="13"/>
      <c r="I136" s="388"/>
    </row>
    <row r="137" spans="1:9" s="107" customFormat="1" ht="13.5" customHeight="1">
      <c r="A137" s="12" t="s">
        <v>130</v>
      </c>
      <c r="B137" s="12" t="s">
        <v>131</v>
      </c>
      <c r="C137" s="33">
        <f>SUM(C138:C142)</f>
        <v>1860660</v>
      </c>
      <c r="D137" s="116"/>
      <c r="E137" s="26"/>
      <c r="F137" s="142"/>
      <c r="G137" s="25"/>
      <c r="H137" s="13"/>
      <c r="I137" s="388"/>
    </row>
    <row r="138" spans="1:9" s="107" customFormat="1" ht="13.5" customHeight="1" hidden="1">
      <c r="A138" s="13" t="s">
        <v>327</v>
      </c>
      <c r="B138" s="13" t="s">
        <v>328</v>
      </c>
      <c r="C138" s="836">
        <v>15000</v>
      </c>
      <c r="D138" s="116"/>
      <c r="E138" s="26"/>
      <c r="F138" s="142"/>
      <c r="G138" s="25"/>
      <c r="H138" s="13"/>
      <c r="I138" s="388"/>
    </row>
    <row r="139" spans="1:9" s="182" customFormat="1" ht="13.5" customHeight="1" hidden="1">
      <c r="A139" s="13" t="s">
        <v>207</v>
      </c>
      <c r="B139" s="13" t="s">
        <v>397</v>
      </c>
      <c r="C139" s="836">
        <f>738250*1.2</f>
        <v>885900</v>
      </c>
      <c r="D139" s="399"/>
      <c r="E139" s="411"/>
      <c r="F139" s="353"/>
      <c r="I139" s="381"/>
    </row>
    <row r="140" spans="1:9" s="182" customFormat="1" ht="13.5" customHeight="1" hidden="1">
      <c r="A140" s="13" t="s">
        <v>245</v>
      </c>
      <c r="B140" s="13" t="s">
        <v>244</v>
      </c>
      <c r="C140" s="836">
        <f>482550*1.2</f>
        <v>579060</v>
      </c>
      <c r="D140" s="399"/>
      <c r="E140" s="411"/>
      <c r="F140" s="353"/>
      <c r="I140" s="381"/>
    </row>
    <row r="141" spans="1:9" s="182" customFormat="1" ht="13.5" customHeight="1" hidden="1">
      <c r="A141" s="13" t="s">
        <v>153</v>
      </c>
      <c r="B141" s="13" t="s">
        <v>1163</v>
      </c>
      <c r="C141" s="836">
        <v>193500</v>
      </c>
      <c r="D141" s="399"/>
      <c r="E141" s="411"/>
      <c r="F141" s="353"/>
      <c r="I141" s="381"/>
    </row>
    <row r="142" spans="1:5" s="208" customFormat="1" ht="13.5" hidden="1">
      <c r="A142" s="13" t="s">
        <v>148</v>
      </c>
      <c r="B142" s="13" t="s">
        <v>77</v>
      </c>
      <c r="C142" s="821">
        <f>156000*1.2</f>
        <v>187200</v>
      </c>
      <c r="D142" s="33"/>
      <c r="E142" s="172"/>
    </row>
    <row r="143" spans="1:11" s="208" customFormat="1" ht="13.5">
      <c r="A143" s="12" t="s">
        <v>398</v>
      </c>
      <c r="B143" s="12" t="s">
        <v>399</v>
      </c>
      <c r="C143" s="33">
        <f>SUM(C144:C148)</f>
        <v>114382192.996</v>
      </c>
      <c r="F143" s="172"/>
      <c r="H143" s="25"/>
      <c r="K143" s="407"/>
    </row>
    <row r="144" spans="1:10" s="208" customFormat="1" ht="13.5" hidden="1">
      <c r="A144" s="13" t="s">
        <v>400</v>
      </c>
      <c r="B144" s="13" t="s">
        <v>401</v>
      </c>
      <c r="C144" s="821">
        <v>18168000</v>
      </c>
      <c r="F144" s="25"/>
      <c r="G144" s="172"/>
      <c r="H144" s="25"/>
      <c r="I144" s="172"/>
      <c r="J144" s="608"/>
    </row>
    <row r="145" spans="1:11" s="208" customFormat="1" ht="13.5" hidden="1">
      <c r="A145" s="13" t="s">
        <v>402</v>
      </c>
      <c r="B145" s="13" t="s">
        <v>403</v>
      </c>
      <c r="C145" s="821">
        <f>(883660.67+867225.16)*11*1.2+0.04</f>
        <v>23111692.996000003</v>
      </c>
      <c r="F145" s="172"/>
      <c r="G145" s="172"/>
      <c r="H145" s="25"/>
      <c r="K145" s="407"/>
    </row>
    <row r="146" spans="1:11" s="208" customFormat="1" ht="13.5" hidden="1">
      <c r="A146" s="13" t="s">
        <v>404</v>
      </c>
      <c r="B146" s="13" t="s">
        <v>405</v>
      </c>
      <c r="C146" s="821">
        <f>4300000*11*1.2</f>
        <v>56760000</v>
      </c>
      <c r="F146" s="172"/>
      <c r="G146" s="172"/>
      <c r="H146" s="13"/>
      <c r="K146" s="407"/>
    </row>
    <row r="147" spans="1:11" s="182" customFormat="1" ht="13.5" customHeight="1" hidden="1">
      <c r="A147" s="13" t="s">
        <v>406</v>
      </c>
      <c r="B147" s="13" t="s">
        <v>407</v>
      </c>
      <c r="C147" s="836">
        <f>1550000*1.15*9</f>
        <v>16042499.999999998</v>
      </c>
      <c r="F147" s="399"/>
      <c r="G147" s="411"/>
      <c r="H147" s="446"/>
      <c r="I147" s="25"/>
      <c r="J147" s="944"/>
      <c r="K147" s="402"/>
    </row>
    <row r="148" spans="1:9" s="182" customFormat="1" ht="13.5" customHeight="1" hidden="1">
      <c r="A148" s="13" t="s">
        <v>408</v>
      </c>
      <c r="B148" s="57" t="s">
        <v>409</v>
      </c>
      <c r="C148" s="836">
        <v>300000</v>
      </c>
      <c r="D148" s="399"/>
      <c r="E148" s="411"/>
      <c r="F148" s="353"/>
      <c r="I148" s="381"/>
    </row>
    <row r="149" spans="1:9" s="208" customFormat="1" ht="13.5">
      <c r="A149" s="12" t="s">
        <v>122</v>
      </c>
      <c r="B149" s="12" t="s">
        <v>175</v>
      </c>
      <c r="C149" s="33">
        <f>SUM(C150:C151)</f>
        <v>118500</v>
      </c>
      <c r="I149" s="407"/>
    </row>
    <row r="150" spans="1:9" s="208" customFormat="1" ht="13.5" hidden="1">
      <c r="A150" s="13" t="s">
        <v>150</v>
      </c>
      <c r="B150" s="13" t="s">
        <v>149</v>
      </c>
      <c r="C150" s="821">
        <v>8500</v>
      </c>
      <c r="I150" s="407"/>
    </row>
    <row r="151" spans="1:9" s="208" customFormat="1" ht="13.5" hidden="1">
      <c r="A151" s="13" t="s">
        <v>53</v>
      </c>
      <c r="B151" s="25" t="s">
        <v>97</v>
      </c>
      <c r="C151" s="821">
        <v>110000</v>
      </c>
      <c r="I151" s="407"/>
    </row>
    <row r="152" spans="1:9" s="208" customFormat="1" ht="13.5">
      <c r="A152" s="12" t="s">
        <v>125</v>
      </c>
      <c r="B152" s="12" t="s">
        <v>7</v>
      </c>
      <c r="C152" s="33">
        <f>SUM(C153:C155)</f>
        <v>405280</v>
      </c>
      <c r="E152" s="46"/>
      <c r="F152" s="26"/>
      <c r="I152" s="407"/>
    </row>
    <row r="153" spans="1:11" s="5" customFormat="1" ht="13.5" hidden="1">
      <c r="A153" s="13" t="s">
        <v>99</v>
      </c>
      <c r="B153" s="25" t="s">
        <v>8</v>
      </c>
      <c r="C153" s="821">
        <f>176280+166000</f>
        <v>342280</v>
      </c>
      <c r="F153" s="26"/>
      <c r="G153" s="25"/>
      <c r="H153" s="25"/>
      <c r="I153" s="388"/>
      <c r="J153" s="107"/>
      <c r="K153" s="107"/>
    </row>
    <row r="154" spans="1:9" s="5" customFormat="1" ht="13.5" hidden="1">
      <c r="A154" s="13" t="s">
        <v>205</v>
      </c>
      <c r="B154" s="25" t="s">
        <v>54</v>
      </c>
      <c r="C154" s="821">
        <v>4500</v>
      </c>
      <c r="D154" s="25"/>
      <c r="E154" s="172"/>
      <c r="F154" s="25"/>
      <c r="I154" s="403"/>
    </row>
    <row r="155" spans="1:11" s="107" customFormat="1" ht="13.5" customHeight="1" hidden="1">
      <c r="A155" s="13" t="s">
        <v>100</v>
      </c>
      <c r="B155" s="25" t="s">
        <v>7</v>
      </c>
      <c r="C155" s="821">
        <v>58500</v>
      </c>
      <c r="D155" s="25"/>
      <c r="E155" s="172"/>
      <c r="F155" s="25"/>
      <c r="G155" s="5"/>
      <c r="H155" s="5"/>
      <c r="I155" s="403"/>
      <c r="J155" s="5"/>
      <c r="K155" s="5"/>
    </row>
    <row r="156" spans="1:9" s="107" customFormat="1" ht="13.5" customHeight="1" thickBot="1">
      <c r="A156" s="13"/>
      <c r="B156" s="25"/>
      <c r="C156" s="25"/>
      <c r="D156" s="115"/>
      <c r="E156" s="26"/>
      <c r="F156" s="314"/>
      <c r="G156" s="25"/>
      <c r="H156" s="25"/>
      <c r="I156" s="388"/>
    </row>
    <row r="157" spans="1:9" s="182" customFormat="1" ht="13.5" customHeight="1" thickBot="1">
      <c r="A157" s="973" t="s">
        <v>4</v>
      </c>
      <c r="B157" s="974"/>
      <c r="C157" s="408">
        <f>C158+C162+C164+C166</f>
        <v>1570200</v>
      </c>
      <c r="D157" s="395"/>
      <c r="F157" s="396"/>
      <c r="I157" s="381"/>
    </row>
    <row r="158" spans="1:9" s="178" customFormat="1" ht="13.5" customHeight="1">
      <c r="A158" s="350" t="s">
        <v>201</v>
      </c>
      <c r="B158" s="817" t="s">
        <v>200</v>
      </c>
      <c r="C158" s="490">
        <f>SUM(C159:C161)</f>
        <v>1202000</v>
      </c>
      <c r="D158" s="399"/>
      <c r="E158" s="399"/>
      <c r="F158" s="142"/>
      <c r="I158" s="431"/>
    </row>
    <row r="159" spans="1:9" s="182" customFormat="1" ht="13.5" customHeight="1" hidden="1">
      <c r="A159" s="378" t="s">
        <v>199</v>
      </c>
      <c r="B159" s="13" t="s">
        <v>198</v>
      </c>
      <c r="C159" s="836">
        <v>122000</v>
      </c>
      <c r="D159" s="383"/>
      <c r="E159" s="411"/>
      <c r="F159" s="353"/>
      <c r="I159" s="381"/>
    </row>
    <row r="160" spans="1:9" s="5" customFormat="1" ht="13.5" hidden="1">
      <c r="A160" s="378" t="s">
        <v>410</v>
      </c>
      <c r="B160" s="378" t="s">
        <v>411</v>
      </c>
      <c r="C160" s="836">
        <v>1000000</v>
      </c>
      <c r="D160" s="172"/>
      <c r="E160" s="22"/>
      <c r="F160" s="107"/>
      <c r="I160" s="403"/>
    </row>
    <row r="161" spans="1:9" s="5" customFormat="1" ht="13.5" hidden="1">
      <c r="A161" s="378" t="s">
        <v>195</v>
      </c>
      <c r="B161" s="378" t="s">
        <v>194</v>
      </c>
      <c r="C161" s="836">
        <v>80000</v>
      </c>
      <c r="D161" s="172"/>
      <c r="F161" s="107"/>
      <c r="I161" s="403"/>
    </row>
    <row r="162" spans="1:9" s="5" customFormat="1" ht="13.5">
      <c r="A162" s="350" t="s">
        <v>193</v>
      </c>
      <c r="B162" s="353" t="s">
        <v>192</v>
      </c>
      <c r="C162" s="26">
        <f>SUM(C163)</f>
        <v>315000</v>
      </c>
      <c r="D162" s="596"/>
      <c r="E162" s="22"/>
      <c r="F162" s="107"/>
      <c r="I162" s="403"/>
    </row>
    <row r="163" spans="1:9" s="433" customFormat="1" ht="13.5" customHeight="1" hidden="1">
      <c r="A163" s="378" t="s">
        <v>412</v>
      </c>
      <c r="B163" s="378" t="s">
        <v>190</v>
      </c>
      <c r="C163" s="836">
        <v>315000</v>
      </c>
      <c r="D163" s="838"/>
      <c r="E163" s="25"/>
      <c r="F163" s="13"/>
      <c r="I163" s="434"/>
    </row>
    <row r="164" spans="1:9" s="178" customFormat="1" ht="13.5" customHeight="1">
      <c r="A164" s="353" t="s">
        <v>126</v>
      </c>
      <c r="B164" s="817" t="s">
        <v>127</v>
      </c>
      <c r="C164" s="490">
        <f>SUM(C165)</f>
        <v>23000</v>
      </c>
      <c r="D164" s="399"/>
      <c r="E164" s="399"/>
      <c r="F164" s="142"/>
      <c r="I164" s="431"/>
    </row>
    <row r="165" spans="1:9" s="433" customFormat="1" ht="13.5" customHeight="1" hidden="1">
      <c r="A165" s="107" t="s">
        <v>101</v>
      </c>
      <c r="B165" s="107" t="s">
        <v>152</v>
      </c>
      <c r="C165" s="821">
        <v>23000</v>
      </c>
      <c r="D165" s="399"/>
      <c r="E165" s="25"/>
      <c r="F165" s="12"/>
      <c r="I165" s="434"/>
    </row>
    <row r="166" spans="1:9" s="433" customFormat="1" ht="13.5" customHeight="1">
      <c r="A166" s="353" t="s">
        <v>188</v>
      </c>
      <c r="B166" s="26" t="s">
        <v>145</v>
      </c>
      <c r="C166" s="406">
        <f>SUM(C167:C168)</f>
        <v>30200</v>
      </c>
      <c r="D166" s="411"/>
      <c r="E166" s="25"/>
      <c r="F166" s="13"/>
      <c r="I166" s="434"/>
    </row>
    <row r="167" spans="1:9" s="433" customFormat="1" ht="13.5" customHeight="1" hidden="1">
      <c r="A167" s="107" t="s">
        <v>413</v>
      </c>
      <c r="B167" s="24" t="s">
        <v>414</v>
      </c>
      <c r="C167" s="836">
        <v>20000</v>
      </c>
      <c r="D167" s="379"/>
      <c r="E167" s="25"/>
      <c r="F167" s="13"/>
      <c r="I167" s="434"/>
    </row>
    <row r="168" spans="1:9" s="433" customFormat="1" ht="13.5" customHeight="1" hidden="1">
      <c r="A168" s="107" t="s">
        <v>189</v>
      </c>
      <c r="B168" s="24" t="s">
        <v>56</v>
      </c>
      <c r="C168" s="821">
        <v>10200</v>
      </c>
      <c r="D168" s="436"/>
      <c r="E168" s="25"/>
      <c r="F168" s="13"/>
      <c r="I168" s="434"/>
    </row>
    <row r="169" spans="1:9" s="433" customFormat="1" ht="13.5" customHeight="1">
      <c r="A169" s="378"/>
      <c r="B169" s="378"/>
      <c r="C169" s="379"/>
      <c r="D169" s="379"/>
      <c r="E169" s="437"/>
      <c r="F169" s="107"/>
      <c r="I169" s="434"/>
    </row>
    <row r="170" spans="1:9" s="182" customFormat="1" ht="13.5" customHeight="1" thickBot="1">
      <c r="A170" s="378"/>
      <c r="B170" s="378"/>
      <c r="C170" s="438"/>
      <c r="D170" s="438"/>
      <c r="E170" s="438"/>
      <c r="F170" s="353"/>
      <c r="I170" s="381"/>
    </row>
    <row r="171" spans="1:9" s="182" customFormat="1" ht="13.5" customHeight="1">
      <c r="A171" s="356" t="s">
        <v>1373</v>
      </c>
      <c r="B171" s="357"/>
      <c r="C171" s="412"/>
      <c r="D171" s="413" t="s">
        <v>6</v>
      </c>
      <c r="E171" s="360">
        <v>1303</v>
      </c>
      <c r="F171" s="353"/>
      <c r="I171" s="381"/>
    </row>
    <row r="172" spans="1:9" s="182" customFormat="1" ht="13.5" customHeight="1" thickBot="1">
      <c r="A172" s="361"/>
      <c r="B172" s="362"/>
      <c r="C172" s="416"/>
      <c r="D172" s="417"/>
      <c r="E172" s="365"/>
      <c r="F172" s="353"/>
      <c r="I172" s="381"/>
    </row>
    <row r="173" spans="1:9" s="182" customFormat="1" ht="13.5" customHeight="1">
      <c r="A173" s="261" t="s">
        <v>415</v>
      </c>
      <c r="B173" s="418"/>
      <c r="C173" s="419"/>
      <c r="D173" s="420"/>
      <c r="E173" s="421"/>
      <c r="F173" s="353"/>
      <c r="G173" s="439"/>
      <c r="I173" s="381"/>
    </row>
    <row r="174" spans="1:9" s="182" customFormat="1" ht="13.5" customHeight="1">
      <c r="A174" s="261" t="s">
        <v>416</v>
      </c>
      <c r="B174" s="418"/>
      <c r="C174" s="419"/>
      <c r="D174" s="420"/>
      <c r="E174" s="421"/>
      <c r="F174" s="353"/>
      <c r="G174" s="439"/>
      <c r="I174" s="381"/>
    </row>
    <row r="175" spans="1:9" s="182" customFormat="1" ht="13.5" customHeight="1">
      <c r="A175" s="261" t="s">
        <v>417</v>
      </c>
      <c r="B175" s="418"/>
      <c r="C175" s="419"/>
      <c r="D175" s="420"/>
      <c r="E175" s="421"/>
      <c r="F175" s="353"/>
      <c r="G175" s="439"/>
      <c r="I175" s="381"/>
    </row>
    <row r="176" spans="1:9" s="182" customFormat="1" ht="13.5" customHeight="1">
      <c r="A176" s="261" t="s">
        <v>418</v>
      </c>
      <c r="B176" s="418"/>
      <c r="C176" s="419"/>
      <c r="D176" s="420"/>
      <c r="E176" s="421"/>
      <c r="F176" s="353"/>
      <c r="G176" s="439"/>
      <c r="I176" s="381"/>
    </row>
    <row r="177" spans="1:9" s="182" customFormat="1" ht="13.5" customHeight="1">
      <c r="A177" s="261" t="s">
        <v>419</v>
      </c>
      <c r="B177" s="418"/>
      <c r="C177" s="419"/>
      <c r="D177" s="420"/>
      <c r="E177" s="421"/>
      <c r="F177" s="353"/>
      <c r="G177" s="439"/>
      <c r="I177" s="381"/>
    </row>
    <row r="178" spans="1:9" s="182" customFormat="1" ht="13.5" customHeight="1" thickBot="1">
      <c r="A178" s="361" t="s">
        <v>420</v>
      </c>
      <c r="B178" s="362"/>
      <c r="C178" s="416"/>
      <c r="D178" s="426"/>
      <c r="E178" s="427"/>
      <c r="F178" s="353"/>
      <c r="G178" s="439"/>
      <c r="I178" s="381"/>
    </row>
    <row r="179" spans="1:9" s="182" customFormat="1" ht="13.5" customHeight="1">
      <c r="A179" s="371" t="s">
        <v>1365</v>
      </c>
      <c r="B179" s="69"/>
      <c r="C179" s="411"/>
      <c r="D179" s="383"/>
      <c r="E179" s="428"/>
      <c r="F179" s="353"/>
      <c r="G179" s="440"/>
      <c r="I179" s="381"/>
    </row>
    <row r="180" spans="1:9" s="182" customFormat="1" ht="13.5" customHeight="1">
      <c r="A180" s="371" t="s">
        <v>421</v>
      </c>
      <c r="B180" s="69"/>
      <c r="C180" s="411"/>
      <c r="D180" s="383"/>
      <c r="E180" s="428"/>
      <c r="F180" s="353"/>
      <c r="I180" s="381"/>
    </row>
    <row r="181" spans="1:9" s="182" customFormat="1" ht="13.5" customHeight="1">
      <c r="A181" s="371" t="s">
        <v>1421</v>
      </c>
      <c r="B181" s="69"/>
      <c r="C181" s="411"/>
      <c r="D181" s="383"/>
      <c r="E181" s="428"/>
      <c r="F181" s="353"/>
      <c r="I181" s="381"/>
    </row>
    <row r="182" spans="1:9" s="182" customFormat="1" ht="13.5" customHeight="1" thickBot="1">
      <c r="A182" s="371" t="s">
        <v>11</v>
      </c>
      <c r="B182" s="69"/>
      <c r="C182" s="411"/>
      <c r="D182" s="383"/>
      <c r="E182" s="428"/>
      <c r="F182" s="353"/>
      <c r="I182" s="381"/>
    </row>
    <row r="183" spans="1:9" s="429" customFormat="1" ht="13.5" customHeight="1" thickBot="1">
      <c r="A183" s="373" t="s">
        <v>0</v>
      </c>
      <c r="B183" s="374"/>
      <c r="C183" s="375"/>
      <c r="D183" s="376"/>
      <c r="E183" s="377">
        <f>+C185+C198+C212</f>
        <v>765100</v>
      </c>
      <c r="F183" s="26"/>
      <c r="I183" s="430"/>
    </row>
    <row r="184" spans="1:9" s="182" customFormat="1" ht="13.5" customHeight="1" thickBot="1">
      <c r="A184" s="190"/>
      <c r="B184" s="190"/>
      <c r="C184" s="411"/>
      <c r="D184" s="383"/>
      <c r="E184" s="411"/>
      <c r="F184" s="353"/>
      <c r="I184" s="381"/>
    </row>
    <row r="185" spans="1:9" s="182" customFormat="1" ht="13.5" customHeight="1" thickBot="1">
      <c r="A185" s="969" t="s">
        <v>2</v>
      </c>
      <c r="B185" s="970"/>
      <c r="C185" s="394">
        <f>C186+C188+C190+C192+C194</f>
        <v>119970</v>
      </c>
      <c r="F185" s="383"/>
      <c r="G185" s="406"/>
      <c r="I185" s="381"/>
    </row>
    <row r="186" spans="1:9" s="178" customFormat="1" ht="13.5" customHeight="1">
      <c r="A186" s="12" t="s">
        <v>113</v>
      </c>
      <c r="B186" s="817" t="s">
        <v>114</v>
      </c>
      <c r="C186" s="490">
        <f>SUM(C187)</f>
        <v>21450</v>
      </c>
      <c r="F186" s="399"/>
      <c r="G186" s="399"/>
      <c r="I186" s="431"/>
    </row>
    <row r="187" spans="1:9" s="107" customFormat="1" ht="13.5" customHeight="1" hidden="1">
      <c r="A187" s="13" t="s">
        <v>50</v>
      </c>
      <c r="B187" s="107" t="s">
        <v>49</v>
      </c>
      <c r="C187" s="821">
        <v>21450</v>
      </c>
      <c r="F187" s="115"/>
      <c r="G187" s="26"/>
      <c r="H187" s="13"/>
      <c r="I187" s="388"/>
    </row>
    <row r="188" spans="1:9" s="107" customFormat="1" ht="13.5" customHeight="1">
      <c r="A188" s="12" t="s">
        <v>117</v>
      </c>
      <c r="B188" s="353" t="s">
        <v>118</v>
      </c>
      <c r="C188" s="33">
        <f>SUM(C189)</f>
        <v>54060</v>
      </c>
      <c r="F188" s="115"/>
      <c r="G188" s="26"/>
      <c r="H188" s="13"/>
      <c r="I188" s="388"/>
    </row>
    <row r="189" spans="1:9" s="107" customFormat="1" ht="13.5" customHeight="1" hidden="1">
      <c r="A189" s="13" t="s">
        <v>51</v>
      </c>
      <c r="B189" s="24" t="s">
        <v>52</v>
      </c>
      <c r="C189" s="821">
        <v>54060</v>
      </c>
      <c r="F189" s="115"/>
      <c r="G189" s="26"/>
      <c r="H189" s="13"/>
      <c r="I189" s="388"/>
    </row>
    <row r="190" spans="1:9" s="107" customFormat="1" ht="13.5" customHeight="1">
      <c r="A190" s="353" t="s">
        <v>129</v>
      </c>
      <c r="B190" s="812" t="s">
        <v>215</v>
      </c>
      <c r="C190" s="33">
        <f>SUM(C191:C191)</f>
        <v>20200</v>
      </c>
      <c r="D190" s="115"/>
      <c r="E190" s="26"/>
      <c r="F190" s="142"/>
      <c r="G190" s="25"/>
      <c r="H190" s="13"/>
      <c r="I190" s="388"/>
    </row>
    <row r="191" spans="1:9" s="107" customFormat="1" ht="13.5" customHeight="1" hidden="1">
      <c r="A191" s="13" t="s">
        <v>1169</v>
      </c>
      <c r="B191" s="57" t="s">
        <v>1194</v>
      </c>
      <c r="C191" s="821">
        <v>20200</v>
      </c>
      <c r="D191" s="115"/>
      <c r="E191" s="26"/>
      <c r="F191" s="142"/>
      <c r="G191" s="25"/>
      <c r="H191" s="13"/>
      <c r="I191" s="388"/>
    </row>
    <row r="192" spans="1:9" s="107" customFormat="1" ht="13.5" customHeight="1">
      <c r="A192" s="353" t="s">
        <v>134</v>
      </c>
      <c r="B192" s="26" t="s">
        <v>133</v>
      </c>
      <c r="C192" s="26">
        <f>SUM(C193)</f>
        <v>12940</v>
      </c>
      <c r="D192" s="115"/>
      <c r="E192" s="26"/>
      <c r="F192" s="142"/>
      <c r="G192" s="25"/>
      <c r="H192" s="13"/>
      <c r="I192" s="388"/>
    </row>
    <row r="193" spans="1:9" s="5" customFormat="1" ht="13.5" hidden="1">
      <c r="A193" s="107" t="s">
        <v>103</v>
      </c>
      <c r="B193" s="24" t="s">
        <v>78</v>
      </c>
      <c r="C193" s="821">
        <v>12940</v>
      </c>
      <c r="D193" s="22"/>
      <c r="E193" s="22"/>
      <c r="F193" s="107"/>
      <c r="I193" s="403"/>
    </row>
    <row r="194" spans="1:9" s="5" customFormat="1" ht="13.5">
      <c r="A194" s="353" t="s">
        <v>169</v>
      </c>
      <c r="B194" s="26" t="s">
        <v>144</v>
      </c>
      <c r="C194" s="26">
        <f>SUM(C195:C196)</f>
        <v>11320</v>
      </c>
      <c r="D194" s="22"/>
      <c r="E194" s="22"/>
      <c r="F194" s="107"/>
      <c r="I194" s="403"/>
    </row>
    <row r="195" spans="1:9" s="13" customFormat="1" ht="13.5" customHeight="1" hidden="1">
      <c r="A195" s="107" t="s">
        <v>170</v>
      </c>
      <c r="B195" s="24" t="s">
        <v>70</v>
      </c>
      <c r="C195" s="821">
        <v>4600</v>
      </c>
      <c r="D195" s="23"/>
      <c r="E195" s="33"/>
      <c r="G195" s="25"/>
      <c r="I195" s="402"/>
    </row>
    <row r="196" spans="1:9" s="13" customFormat="1" ht="13.5" customHeight="1" hidden="1">
      <c r="A196" s="107" t="s">
        <v>173</v>
      </c>
      <c r="B196" s="24" t="s">
        <v>144</v>
      </c>
      <c r="C196" s="821">
        <v>6720</v>
      </c>
      <c r="D196" s="23"/>
      <c r="E196" s="33"/>
      <c r="G196" s="25"/>
      <c r="I196" s="402"/>
    </row>
    <row r="197" spans="1:9" s="182" customFormat="1" ht="13.5" customHeight="1" thickBot="1">
      <c r="A197" s="378"/>
      <c r="B197" s="378"/>
      <c r="C197" s="379"/>
      <c r="D197" s="383"/>
      <c r="E197" s="411"/>
      <c r="F197" s="353"/>
      <c r="I197" s="381"/>
    </row>
    <row r="198" spans="1:9" s="182" customFormat="1" ht="13.5" customHeight="1" thickBot="1">
      <c r="A198" s="971" t="s">
        <v>3</v>
      </c>
      <c r="B198" s="972"/>
      <c r="C198" s="405">
        <f>+C199+C201+C204+C207</f>
        <v>606930</v>
      </c>
      <c r="D198" s="383"/>
      <c r="F198" s="353"/>
      <c r="G198" s="406"/>
      <c r="I198" s="381"/>
    </row>
    <row r="199" spans="1:9" s="107" customFormat="1" ht="13.5" customHeight="1">
      <c r="A199" s="12" t="s">
        <v>130</v>
      </c>
      <c r="B199" s="12" t="s">
        <v>131</v>
      </c>
      <c r="C199" s="33">
        <f>SUM(C200)</f>
        <v>26560</v>
      </c>
      <c r="D199" s="116"/>
      <c r="E199" s="26"/>
      <c r="F199" s="142"/>
      <c r="G199" s="25"/>
      <c r="H199" s="13"/>
      <c r="I199" s="388"/>
    </row>
    <row r="200" spans="1:9" s="208" customFormat="1" ht="13.5" hidden="1">
      <c r="A200" s="13" t="s">
        <v>148</v>
      </c>
      <c r="B200" s="13" t="s">
        <v>77</v>
      </c>
      <c r="C200" s="821">
        <v>26560</v>
      </c>
      <c r="D200" s="33"/>
      <c r="E200" s="172"/>
      <c r="F200" s="25"/>
      <c r="I200" s="407"/>
    </row>
    <row r="201" spans="1:9" s="208" customFormat="1" ht="13.5">
      <c r="A201" s="12" t="s">
        <v>122</v>
      </c>
      <c r="B201" s="12" t="s">
        <v>175</v>
      </c>
      <c r="C201" s="33">
        <f>SUM(C202:C203)</f>
        <v>482920</v>
      </c>
      <c r="D201" s="33"/>
      <c r="E201" s="172"/>
      <c r="F201" s="25"/>
      <c r="I201" s="407"/>
    </row>
    <row r="202" spans="1:9" s="208" customFormat="1" ht="13.5" hidden="1">
      <c r="A202" s="13" t="s">
        <v>150</v>
      </c>
      <c r="B202" s="13" t="s">
        <v>149</v>
      </c>
      <c r="C202" s="821">
        <v>8200</v>
      </c>
      <c r="D202" s="25"/>
      <c r="E202" s="172"/>
      <c r="F202" s="25"/>
      <c r="I202" s="407"/>
    </row>
    <row r="203" spans="1:9" s="208" customFormat="1" ht="13.5" hidden="1">
      <c r="A203" s="13" t="s">
        <v>53</v>
      </c>
      <c r="B203" s="25" t="s">
        <v>97</v>
      </c>
      <c r="C203" s="821">
        <f>354720+120000</f>
        <v>474720</v>
      </c>
      <c r="D203" s="432" t="s">
        <v>1397</v>
      </c>
      <c r="F203" s="25"/>
      <c r="I203" s="407"/>
    </row>
    <row r="204" spans="1:9" s="208" customFormat="1" ht="13.5">
      <c r="A204" s="12" t="s">
        <v>123</v>
      </c>
      <c r="B204" s="33" t="s">
        <v>124</v>
      </c>
      <c r="C204" s="33">
        <f>SUM(C205:C206)</f>
        <v>12500</v>
      </c>
      <c r="D204" s="172"/>
      <c r="E204" s="13"/>
      <c r="F204" s="25"/>
      <c r="I204" s="407"/>
    </row>
    <row r="205" spans="1:9" s="208" customFormat="1" ht="13.5" hidden="1">
      <c r="A205" s="13" t="s">
        <v>184</v>
      </c>
      <c r="B205" s="13" t="s">
        <v>83</v>
      </c>
      <c r="C205" s="821">
        <v>6000</v>
      </c>
      <c r="D205" s="46"/>
      <c r="E205" s="13"/>
      <c r="F205" s="25"/>
      <c r="I205" s="407"/>
    </row>
    <row r="206" spans="1:9" s="208" customFormat="1" ht="13.5" hidden="1">
      <c r="A206" s="13" t="s">
        <v>98</v>
      </c>
      <c r="B206" s="25" t="s">
        <v>69</v>
      </c>
      <c r="C206" s="821">
        <v>6500</v>
      </c>
      <c r="F206" s="25"/>
      <c r="I206" s="407"/>
    </row>
    <row r="207" spans="1:9" s="208" customFormat="1" ht="13.5">
      <c r="A207" s="12" t="s">
        <v>125</v>
      </c>
      <c r="B207" s="33" t="s">
        <v>8</v>
      </c>
      <c r="C207" s="33">
        <f>SUM(C208:C210)</f>
        <v>84950</v>
      </c>
      <c r="D207" s="46"/>
      <c r="F207" s="25"/>
      <c r="I207" s="407"/>
    </row>
    <row r="208" spans="1:9" s="107" customFormat="1" ht="13.5" customHeight="1" hidden="1">
      <c r="A208" s="13" t="s">
        <v>102</v>
      </c>
      <c r="B208" s="25" t="s">
        <v>8</v>
      </c>
      <c r="C208" s="821">
        <v>63850</v>
      </c>
      <c r="D208" s="172"/>
      <c r="F208" s="314"/>
      <c r="G208" s="25"/>
      <c r="H208" s="25"/>
      <c r="I208" s="388"/>
    </row>
    <row r="209" spans="1:9" s="5" customFormat="1" ht="13.5" hidden="1">
      <c r="A209" s="13" t="s">
        <v>104</v>
      </c>
      <c r="B209" s="25" t="s">
        <v>54</v>
      </c>
      <c r="C209" s="821">
        <v>8600</v>
      </c>
      <c r="D209" s="25"/>
      <c r="F209" s="25"/>
      <c r="I209" s="403"/>
    </row>
    <row r="210" spans="1:9" s="5" customFormat="1" ht="13.5" hidden="1">
      <c r="A210" s="13" t="s">
        <v>100</v>
      </c>
      <c r="B210" s="25" t="s">
        <v>7</v>
      </c>
      <c r="C210" s="821">
        <v>12500</v>
      </c>
      <c r="D210" s="25"/>
      <c r="E210" s="172"/>
      <c r="F210" s="25"/>
      <c r="I210" s="403"/>
    </row>
    <row r="211" spans="1:9" s="107" customFormat="1" ht="13.5" customHeight="1" thickBot="1">
      <c r="A211" s="13"/>
      <c r="B211" s="25"/>
      <c r="C211" s="25"/>
      <c r="D211" s="115"/>
      <c r="E211" s="172"/>
      <c r="F211" s="314"/>
      <c r="G211" s="25"/>
      <c r="H211" s="25"/>
      <c r="I211" s="388"/>
    </row>
    <row r="212" spans="1:9" s="182" customFormat="1" ht="13.5" customHeight="1" thickBot="1">
      <c r="A212" s="973" t="s">
        <v>4</v>
      </c>
      <c r="B212" s="974"/>
      <c r="C212" s="408">
        <f>C213+C216</f>
        <v>38200</v>
      </c>
      <c r="D212" s="383"/>
      <c r="F212" s="353"/>
      <c r="G212" s="406"/>
      <c r="I212" s="381"/>
    </row>
    <row r="213" spans="1:9" s="178" customFormat="1" ht="13.5" customHeight="1">
      <c r="A213" s="353" t="s">
        <v>126</v>
      </c>
      <c r="B213" s="817" t="s">
        <v>127</v>
      </c>
      <c r="C213" s="490">
        <f>SUM(C214:C215)</f>
        <v>32700</v>
      </c>
      <c r="D213" s="399"/>
      <c r="E213" s="399"/>
      <c r="F213" s="142"/>
      <c r="I213" s="431"/>
    </row>
    <row r="214" spans="1:9" s="433" customFormat="1" ht="13.5" customHeight="1" hidden="1">
      <c r="A214" s="107" t="s">
        <v>101</v>
      </c>
      <c r="B214" s="107" t="s">
        <v>152</v>
      </c>
      <c r="C214" s="821">
        <v>10500</v>
      </c>
      <c r="D214" s="435"/>
      <c r="E214" s="25"/>
      <c r="F214" s="12"/>
      <c r="I214" s="434"/>
    </row>
    <row r="215" spans="1:9" s="5" customFormat="1" ht="13.5" hidden="1">
      <c r="A215" s="107" t="s">
        <v>182</v>
      </c>
      <c r="B215" s="57" t="s">
        <v>183</v>
      </c>
      <c r="C215" s="821">
        <v>22200</v>
      </c>
      <c r="D215" s="22"/>
      <c r="E215" s="22"/>
      <c r="F215" s="107"/>
      <c r="I215" s="403"/>
    </row>
    <row r="216" spans="1:9" s="433" customFormat="1" ht="13.5" customHeight="1">
      <c r="A216" s="353" t="s">
        <v>188</v>
      </c>
      <c r="B216" s="26" t="s">
        <v>145</v>
      </c>
      <c r="C216" s="26">
        <f>SUM(C217)</f>
        <v>5500</v>
      </c>
      <c r="D216" s="435"/>
      <c r="E216" s="25"/>
      <c r="F216" s="12"/>
      <c r="I216" s="434"/>
    </row>
    <row r="217" spans="1:9" s="433" customFormat="1" ht="13.5" customHeight="1" hidden="1">
      <c r="A217" s="107" t="s">
        <v>189</v>
      </c>
      <c r="B217" s="24" t="s">
        <v>56</v>
      </c>
      <c r="C217" s="821">
        <v>5500</v>
      </c>
      <c r="D217" s="436"/>
      <c r="E217" s="25"/>
      <c r="F217" s="13"/>
      <c r="I217" s="434"/>
    </row>
    <row r="218" spans="1:9" s="182" customFormat="1" ht="13.5" customHeight="1">
      <c r="A218" s="378"/>
      <c r="B218" s="378"/>
      <c r="C218" s="379"/>
      <c r="D218" s="383"/>
      <c r="E218" s="411"/>
      <c r="F218" s="353"/>
      <c r="I218" s="381"/>
    </row>
    <row r="219" spans="1:9" s="182" customFormat="1" ht="13.5" customHeight="1" thickBot="1">
      <c r="A219" s="107"/>
      <c r="B219" s="107"/>
      <c r="C219" s="24"/>
      <c r="D219" s="24"/>
      <c r="E219" s="24"/>
      <c r="F219" s="353"/>
      <c r="I219" s="381"/>
    </row>
    <row r="220" spans="1:9" s="182" customFormat="1" ht="13.5" customHeight="1">
      <c r="A220" s="64" t="s">
        <v>429</v>
      </c>
      <c r="B220" s="221"/>
      <c r="C220" s="65"/>
      <c r="D220" s="67" t="s">
        <v>6</v>
      </c>
      <c r="E220" s="360">
        <v>1304</v>
      </c>
      <c r="F220" s="353"/>
      <c r="G220" s="424"/>
      <c r="I220" s="381"/>
    </row>
    <row r="221" spans="1:9" s="182" customFormat="1" ht="13.5" customHeight="1" thickBot="1">
      <c r="A221" s="45"/>
      <c r="B221" s="208"/>
      <c r="C221" s="172"/>
      <c r="D221" s="447"/>
      <c r="E221" s="448"/>
      <c r="F221" s="353"/>
      <c r="G221" s="424"/>
      <c r="I221" s="381"/>
    </row>
    <row r="222" spans="1:9" s="182" customFormat="1" ht="13.5" customHeight="1">
      <c r="A222" s="64" t="s">
        <v>430</v>
      </c>
      <c r="B222" s="221"/>
      <c r="C222" s="65"/>
      <c r="D222" s="65"/>
      <c r="E222" s="449"/>
      <c r="F222" s="353"/>
      <c r="G222" s="424"/>
      <c r="I222" s="381"/>
    </row>
    <row r="223" spans="1:9" s="182" customFormat="1" ht="13.5" customHeight="1">
      <c r="A223" s="45" t="s">
        <v>431</v>
      </c>
      <c r="B223" s="208"/>
      <c r="C223" s="172"/>
      <c r="D223" s="172"/>
      <c r="E223" s="450"/>
      <c r="F223" s="353"/>
      <c r="G223" s="424"/>
      <c r="I223" s="381"/>
    </row>
    <row r="224" spans="1:9" s="182" customFormat="1" ht="13.5" customHeight="1">
      <c r="A224" s="45" t="s">
        <v>432</v>
      </c>
      <c r="B224" s="208"/>
      <c r="C224" s="172"/>
      <c r="D224" s="172"/>
      <c r="E224" s="428"/>
      <c r="F224" s="353"/>
      <c r="G224" s="424"/>
      <c r="I224" s="381"/>
    </row>
    <row r="225" spans="1:9" s="182" customFormat="1" ht="13.5" customHeight="1">
      <c r="A225" s="45" t="s">
        <v>433</v>
      </c>
      <c r="B225" s="208"/>
      <c r="C225" s="172"/>
      <c r="D225" s="172"/>
      <c r="E225" s="428"/>
      <c r="F225" s="353"/>
      <c r="G225" s="424"/>
      <c r="I225" s="381"/>
    </row>
    <row r="226" spans="1:9" s="182" customFormat="1" ht="13.5" customHeight="1">
      <c r="A226" s="45" t="s">
        <v>434</v>
      </c>
      <c r="B226" s="208"/>
      <c r="C226" s="172"/>
      <c r="D226" s="172"/>
      <c r="E226" s="428"/>
      <c r="F226" s="353"/>
      <c r="G226" s="424"/>
      <c r="I226" s="381"/>
    </row>
    <row r="227" spans="1:9" s="176" customFormat="1" ht="13.5" customHeight="1">
      <c r="A227" s="45" t="s">
        <v>435</v>
      </c>
      <c r="B227" s="208"/>
      <c r="C227" s="172"/>
      <c r="D227" s="172"/>
      <c r="E227" s="450"/>
      <c r="F227" s="12"/>
      <c r="G227" s="424"/>
      <c r="I227" s="451"/>
    </row>
    <row r="228" spans="1:9" s="176" customFormat="1" ht="13.5" customHeight="1">
      <c r="A228" s="45" t="s">
        <v>436</v>
      </c>
      <c r="B228" s="208"/>
      <c r="C228" s="172"/>
      <c r="D228" s="172"/>
      <c r="E228" s="450"/>
      <c r="F228" s="12"/>
      <c r="G228" s="424"/>
      <c r="I228" s="451"/>
    </row>
    <row r="229" spans="1:9" s="176" customFormat="1" ht="13.5" customHeight="1">
      <c r="A229" s="45" t="s">
        <v>437</v>
      </c>
      <c r="B229" s="208"/>
      <c r="C229" s="172"/>
      <c r="D229" s="172"/>
      <c r="E229" s="450"/>
      <c r="F229" s="12"/>
      <c r="G229" s="424"/>
      <c r="I229" s="451"/>
    </row>
    <row r="230" spans="1:9" s="176" customFormat="1" ht="13.5" customHeight="1">
      <c r="A230" s="45" t="s">
        <v>438</v>
      </c>
      <c r="B230" s="208"/>
      <c r="C230" s="172"/>
      <c r="D230" s="172"/>
      <c r="E230" s="450"/>
      <c r="F230" s="12"/>
      <c r="G230" s="424"/>
      <c r="I230" s="451"/>
    </row>
    <row r="231" spans="1:9" s="176" customFormat="1" ht="13.5" customHeight="1">
      <c r="A231" s="45" t="s">
        <v>439</v>
      </c>
      <c r="B231" s="208"/>
      <c r="C231" s="172"/>
      <c r="D231" s="172"/>
      <c r="E231" s="450"/>
      <c r="F231" s="12"/>
      <c r="G231" s="424"/>
      <c r="I231" s="451"/>
    </row>
    <row r="232" spans="1:9" s="176" customFormat="1" ht="13.5" customHeight="1">
      <c r="A232" s="45" t="s">
        <v>440</v>
      </c>
      <c r="B232" s="208"/>
      <c r="C232" s="172"/>
      <c r="D232" s="172"/>
      <c r="E232" s="53"/>
      <c r="F232" s="12"/>
      <c r="G232" s="424"/>
      <c r="I232" s="451"/>
    </row>
    <row r="233" spans="1:9" s="176" customFormat="1" ht="13.5" customHeight="1">
      <c r="A233" s="45" t="s">
        <v>441</v>
      </c>
      <c r="B233" s="208"/>
      <c r="C233" s="172"/>
      <c r="D233" s="172"/>
      <c r="E233" s="53"/>
      <c r="F233" s="12"/>
      <c r="G233" s="424"/>
      <c r="I233" s="451"/>
    </row>
    <row r="234" spans="1:9" s="176" customFormat="1" ht="13.5" customHeight="1">
      <c r="A234" s="45" t="s">
        <v>442</v>
      </c>
      <c r="B234" s="208"/>
      <c r="C234" s="172"/>
      <c r="D234" s="172"/>
      <c r="E234" s="450"/>
      <c r="F234" s="12"/>
      <c r="G234" s="424"/>
      <c r="I234" s="451"/>
    </row>
    <row r="235" spans="1:9" s="176" customFormat="1" ht="13.5" customHeight="1">
      <c r="A235" s="45" t="s">
        <v>443</v>
      </c>
      <c r="B235" s="208"/>
      <c r="C235" s="172"/>
      <c r="D235" s="172"/>
      <c r="E235" s="450"/>
      <c r="F235" s="12"/>
      <c r="G235" s="424"/>
      <c r="I235" s="451"/>
    </row>
    <row r="236" spans="1:9" s="182" customFormat="1" ht="13.5" customHeight="1">
      <c r="A236" s="45" t="s">
        <v>444</v>
      </c>
      <c r="B236" s="208"/>
      <c r="D236" s="172"/>
      <c r="E236" s="450"/>
      <c r="F236" s="353"/>
      <c r="G236" s="424"/>
      <c r="I236" s="381"/>
    </row>
    <row r="237" spans="1:9" s="176" customFormat="1" ht="13.5" customHeight="1">
      <c r="A237" s="45" t="s">
        <v>445</v>
      </c>
      <c r="B237" s="208"/>
      <c r="D237" s="172"/>
      <c r="E237" s="450"/>
      <c r="F237" s="12"/>
      <c r="G237" s="424"/>
      <c r="I237" s="451"/>
    </row>
    <row r="238" spans="1:9" s="176" customFormat="1" ht="13.5" customHeight="1">
      <c r="A238" s="45" t="s">
        <v>446</v>
      </c>
      <c r="B238" s="208"/>
      <c r="D238" s="172"/>
      <c r="E238" s="450"/>
      <c r="F238" s="12"/>
      <c r="G238" s="424"/>
      <c r="I238" s="451"/>
    </row>
    <row r="239" spans="1:9" s="176" customFormat="1" ht="13.5" customHeight="1">
      <c r="A239" s="45" t="s">
        <v>447</v>
      </c>
      <c r="B239" s="208"/>
      <c r="D239" s="172"/>
      <c r="E239" s="450"/>
      <c r="F239" s="12"/>
      <c r="I239" s="451"/>
    </row>
    <row r="240" spans="1:9" s="176" customFormat="1" ht="13.5" customHeight="1">
      <c r="A240" s="45" t="s">
        <v>448</v>
      </c>
      <c r="B240" s="208"/>
      <c r="C240" s="172"/>
      <c r="D240" s="172"/>
      <c r="E240" s="450"/>
      <c r="F240" s="12"/>
      <c r="I240" s="451"/>
    </row>
    <row r="241" spans="1:9" s="176" customFormat="1" ht="13.5" customHeight="1">
      <c r="A241" s="45" t="s">
        <v>449</v>
      </c>
      <c r="B241" s="208"/>
      <c r="C241" s="172"/>
      <c r="D241" s="172"/>
      <c r="E241" s="450"/>
      <c r="F241" s="12"/>
      <c r="I241" s="451"/>
    </row>
    <row r="242" spans="1:9" s="176" customFormat="1" ht="13.5" customHeight="1">
      <c r="A242" s="45" t="s">
        <v>450</v>
      </c>
      <c r="B242" s="208"/>
      <c r="C242" s="172"/>
      <c r="D242" s="172"/>
      <c r="E242" s="450"/>
      <c r="F242" s="12"/>
      <c r="I242" s="451"/>
    </row>
    <row r="243" spans="1:9" s="176" customFormat="1" ht="13.5" customHeight="1">
      <c r="A243" s="45" t="s">
        <v>451</v>
      </c>
      <c r="B243" s="208"/>
      <c r="C243" s="172"/>
      <c r="D243" s="172"/>
      <c r="E243" s="450"/>
      <c r="F243" s="12"/>
      <c r="G243" s="424"/>
      <c r="I243" s="451"/>
    </row>
    <row r="244" spans="1:9" s="176" customFormat="1" ht="13.5" customHeight="1">
      <c r="A244" s="45" t="s">
        <v>452</v>
      </c>
      <c r="B244" s="208"/>
      <c r="C244" s="172"/>
      <c r="D244" s="172"/>
      <c r="E244" s="450"/>
      <c r="F244" s="12"/>
      <c r="G244" s="424"/>
      <c r="I244" s="451"/>
    </row>
    <row r="245" spans="1:9" s="176" customFormat="1" ht="13.5" customHeight="1">
      <c r="A245" s="45" t="s">
        <v>453</v>
      </c>
      <c r="B245" s="208"/>
      <c r="C245" s="172"/>
      <c r="D245" s="172"/>
      <c r="E245" s="450"/>
      <c r="F245" s="12"/>
      <c r="G245" s="424"/>
      <c r="I245" s="451"/>
    </row>
    <row r="246" spans="1:9" s="176" customFormat="1" ht="13.5" customHeight="1">
      <c r="A246" s="45" t="s">
        <v>454</v>
      </c>
      <c r="B246" s="208"/>
      <c r="C246" s="172"/>
      <c r="D246" s="172"/>
      <c r="E246" s="53"/>
      <c r="F246" s="12"/>
      <c r="G246" s="424"/>
      <c r="I246" s="451"/>
    </row>
    <row r="247" spans="1:9" s="176" customFormat="1" ht="13.5" customHeight="1">
      <c r="A247" s="45" t="s">
        <v>455</v>
      </c>
      <c r="B247" s="208"/>
      <c r="C247" s="172"/>
      <c r="D247" s="172"/>
      <c r="E247" s="53"/>
      <c r="F247" s="12"/>
      <c r="G247" s="424"/>
      <c r="I247" s="451"/>
    </row>
    <row r="248" spans="1:9" s="182" customFormat="1" ht="13.5" customHeight="1">
      <c r="A248" s="45" t="s">
        <v>456</v>
      </c>
      <c r="B248" s="208"/>
      <c r="C248" s="172"/>
      <c r="D248" s="172"/>
      <c r="E248" s="450"/>
      <c r="F248" s="353"/>
      <c r="G248" s="424"/>
      <c r="I248" s="381"/>
    </row>
    <row r="249" spans="1:9" s="182" customFormat="1" ht="13.5" customHeight="1">
      <c r="A249" s="45" t="s">
        <v>457</v>
      </c>
      <c r="B249" s="208"/>
      <c r="C249" s="172"/>
      <c r="D249" s="172"/>
      <c r="E249" s="450"/>
      <c r="F249" s="353"/>
      <c r="G249" s="424"/>
      <c r="I249" s="381"/>
    </row>
    <row r="250" spans="1:9" s="182" customFormat="1" ht="13.5" customHeight="1">
      <c r="A250" s="45" t="s">
        <v>458</v>
      </c>
      <c r="B250" s="208"/>
      <c r="C250" s="172"/>
      <c r="D250" s="172"/>
      <c r="E250" s="450"/>
      <c r="F250" s="353"/>
      <c r="G250" s="424"/>
      <c r="I250" s="381"/>
    </row>
    <row r="251" spans="1:9" s="182" customFormat="1" ht="13.5" customHeight="1" thickBot="1">
      <c r="A251" s="49" t="s">
        <v>459</v>
      </c>
      <c r="B251" s="205"/>
      <c r="C251" s="119"/>
      <c r="D251" s="119"/>
      <c r="E251" s="452"/>
      <c r="F251" s="353"/>
      <c r="G251" s="424"/>
      <c r="I251" s="381"/>
    </row>
    <row r="252" spans="1:9" s="182" customFormat="1" ht="13.5" customHeight="1">
      <c r="A252" s="371" t="s">
        <v>1365</v>
      </c>
      <c r="B252" s="69"/>
      <c r="C252" s="25"/>
      <c r="D252" s="25"/>
      <c r="E252" s="453"/>
      <c r="F252" s="353"/>
      <c r="I252" s="381"/>
    </row>
    <row r="253" spans="1:9" s="182" customFormat="1" ht="13.5" customHeight="1">
      <c r="A253" s="371" t="s">
        <v>369</v>
      </c>
      <c r="B253" s="69"/>
      <c r="C253" s="25"/>
      <c r="D253" s="25"/>
      <c r="E253" s="453"/>
      <c r="F253" s="353"/>
      <c r="I253" s="381"/>
    </row>
    <row r="254" spans="1:9" s="182" customFormat="1" ht="13.5" customHeight="1">
      <c r="A254" s="371" t="s">
        <v>1421</v>
      </c>
      <c r="B254" s="69"/>
      <c r="C254" s="25"/>
      <c r="D254" s="25"/>
      <c r="E254" s="453"/>
      <c r="F254" s="353"/>
      <c r="I254" s="381"/>
    </row>
    <row r="255" spans="1:9" s="182" customFormat="1" ht="13.5" customHeight="1" thickBot="1">
      <c r="A255" s="454" t="s">
        <v>11</v>
      </c>
      <c r="B255" s="69"/>
      <c r="C255" s="25"/>
      <c r="D255" s="25"/>
      <c r="E255" s="453"/>
      <c r="F255" s="353"/>
      <c r="I255" s="381"/>
    </row>
    <row r="256" spans="1:9" s="429" customFormat="1" ht="13.5" customHeight="1" thickBot="1">
      <c r="A256" s="54" t="s">
        <v>460</v>
      </c>
      <c r="B256" s="192"/>
      <c r="C256" s="55"/>
      <c r="D256" s="55"/>
      <c r="E256" s="161">
        <f>C258+C290+C318+C323</f>
        <v>7683110</v>
      </c>
      <c r="F256" s="26"/>
      <c r="I256" s="430"/>
    </row>
    <row r="257" spans="1:9" s="182" customFormat="1" ht="13.5" customHeight="1" thickBot="1">
      <c r="A257" s="378"/>
      <c r="B257" s="378"/>
      <c r="C257" s="379"/>
      <c r="D257" s="380"/>
      <c r="E257" s="379"/>
      <c r="F257" s="353"/>
      <c r="I257" s="381"/>
    </row>
    <row r="258" spans="1:8" s="182" customFormat="1" ht="13.5" customHeight="1" thickBot="1">
      <c r="A258" s="947" t="s">
        <v>2</v>
      </c>
      <c r="B258" s="948"/>
      <c r="C258" s="38">
        <f>C259+C262+C265+C267+C269+C273+C278+C286</f>
        <v>1148010</v>
      </c>
      <c r="D258" s="380"/>
      <c r="G258" s="396"/>
      <c r="H258" s="353"/>
    </row>
    <row r="259" spans="1:8" s="178" customFormat="1" ht="13.5" customHeight="1">
      <c r="A259" s="12" t="s">
        <v>113</v>
      </c>
      <c r="B259" s="817" t="s">
        <v>114</v>
      </c>
      <c r="C259" s="34">
        <f>SUM(C260:C261)</f>
        <v>378600</v>
      </c>
      <c r="D259" s="399"/>
      <c r="G259" s="399"/>
      <c r="H259" s="142"/>
    </row>
    <row r="260" spans="1:8" s="178" customFormat="1" ht="13.5" customHeight="1" hidden="1">
      <c r="A260" s="13" t="s">
        <v>50</v>
      </c>
      <c r="B260" s="107" t="s">
        <v>49</v>
      </c>
      <c r="C260" s="824">
        <v>16100</v>
      </c>
      <c r="D260" s="399"/>
      <c r="G260" s="399"/>
      <c r="H260" s="142"/>
    </row>
    <row r="261" spans="1:9" s="182" customFormat="1" ht="13.5" customHeight="1" hidden="1">
      <c r="A261" s="107" t="s">
        <v>461</v>
      </c>
      <c r="B261" s="13" t="s">
        <v>462</v>
      </c>
      <c r="C261" s="821">
        <v>362500</v>
      </c>
      <c r="D261" s="24"/>
      <c r="G261" s="379"/>
      <c r="H261" s="353"/>
      <c r="I261" s="22"/>
    </row>
    <row r="262" spans="1:9" s="107" customFormat="1" ht="13.5" customHeight="1">
      <c r="A262" s="12" t="s">
        <v>223</v>
      </c>
      <c r="B262" s="812" t="s">
        <v>222</v>
      </c>
      <c r="C262" s="33">
        <f>SUM(C263:C264)</f>
        <v>30700</v>
      </c>
      <c r="F262" s="142"/>
      <c r="G262" s="115"/>
      <c r="H262" s="26"/>
      <c r="I262" s="388"/>
    </row>
    <row r="263" spans="1:9" s="107" customFormat="1" ht="13.5" customHeight="1" hidden="1">
      <c r="A263" s="13" t="s">
        <v>271</v>
      </c>
      <c r="B263" s="57" t="s">
        <v>270</v>
      </c>
      <c r="C263" s="821">
        <v>11700</v>
      </c>
      <c r="F263" s="142"/>
      <c r="H263" s="26"/>
      <c r="I263" s="388"/>
    </row>
    <row r="264" spans="1:9" s="107" customFormat="1" ht="13.5" customHeight="1" hidden="1">
      <c r="A264" s="13" t="s">
        <v>255</v>
      </c>
      <c r="B264" s="57" t="s">
        <v>254</v>
      </c>
      <c r="C264" s="821">
        <v>19000</v>
      </c>
      <c r="F264" s="142"/>
      <c r="G264" s="116"/>
      <c r="H264" s="26"/>
      <c r="I264" s="388"/>
    </row>
    <row r="265" spans="1:9" s="182" customFormat="1" ht="13.5" customHeight="1">
      <c r="A265" s="12" t="s">
        <v>115</v>
      </c>
      <c r="B265" s="353" t="s">
        <v>116</v>
      </c>
      <c r="C265" s="33">
        <f>SUM(C266)</f>
        <v>28210</v>
      </c>
      <c r="F265" s="353"/>
      <c r="G265" s="24"/>
      <c r="H265" s="379"/>
      <c r="I265" s="381"/>
    </row>
    <row r="266" spans="1:9" s="13" customFormat="1" ht="13.5" customHeight="1" hidden="1">
      <c r="A266" s="13" t="s">
        <v>96</v>
      </c>
      <c r="B266" s="107" t="s">
        <v>71</v>
      </c>
      <c r="C266" s="821">
        <v>28210</v>
      </c>
      <c r="G266" s="23"/>
      <c r="H266" s="33"/>
      <c r="I266" s="402"/>
    </row>
    <row r="267" spans="1:9" s="13" customFormat="1" ht="13.5" customHeight="1">
      <c r="A267" s="12" t="s">
        <v>117</v>
      </c>
      <c r="B267" s="353" t="s">
        <v>118</v>
      </c>
      <c r="C267" s="33">
        <f>SUM(C268)</f>
        <v>11600</v>
      </c>
      <c r="G267" s="23"/>
      <c r="H267" s="33"/>
      <c r="I267" s="402"/>
    </row>
    <row r="268" spans="1:9" s="107" customFormat="1" ht="13.5" customHeight="1" hidden="1">
      <c r="A268" s="13" t="s">
        <v>51</v>
      </c>
      <c r="B268" s="25" t="s">
        <v>52</v>
      </c>
      <c r="C268" s="821">
        <v>11600</v>
      </c>
      <c r="F268" s="142"/>
      <c r="G268" s="115"/>
      <c r="H268" s="26"/>
      <c r="I268" s="388"/>
    </row>
    <row r="269" spans="1:9" s="107" customFormat="1" ht="13.5" customHeight="1">
      <c r="A269" s="12" t="s">
        <v>219</v>
      </c>
      <c r="B269" s="26" t="s">
        <v>218</v>
      </c>
      <c r="C269" s="26">
        <f>SUM(C270:C272)</f>
        <v>158000</v>
      </c>
      <c r="F269" s="142"/>
      <c r="G269" s="115"/>
      <c r="H269" s="26"/>
      <c r="I269" s="388"/>
    </row>
    <row r="270" spans="1:9" s="107" customFormat="1" ht="13.5" customHeight="1" hidden="1">
      <c r="A270" s="107" t="s">
        <v>217</v>
      </c>
      <c r="B270" s="107" t="s">
        <v>252</v>
      </c>
      <c r="C270" s="821">
        <v>110000</v>
      </c>
      <c r="F270" s="142"/>
      <c r="G270" s="115"/>
      <c r="H270" s="26"/>
      <c r="I270" s="388"/>
    </row>
    <row r="271" spans="1:9" s="182" customFormat="1" ht="13.5" customHeight="1" hidden="1">
      <c r="A271" s="107" t="s">
        <v>463</v>
      </c>
      <c r="B271" s="107" t="s">
        <v>464</v>
      </c>
      <c r="C271" s="821">
        <v>17000</v>
      </c>
      <c r="F271" s="353"/>
      <c r="G271" s="26"/>
      <c r="H271" s="379"/>
      <c r="I271" s="381"/>
    </row>
    <row r="272" spans="1:9" s="182" customFormat="1" ht="13.5" customHeight="1" hidden="1">
      <c r="A272" s="107" t="s">
        <v>465</v>
      </c>
      <c r="B272" s="107" t="s">
        <v>466</v>
      </c>
      <c r="C272" s="821">
        <v>31000</v>
      </c>
      <c r="F272" s="353"/>
      <c r="G272" s="26"/>
      <c r="H272" s="379"/>
      <c r="I272" s="381"/>
    </row>
    <row r="273" spans="1:9" s="184" customFormat="1" ht="12.75" customHeight="1">
      <c r="A273" s="353" t="s">
        <v>129</v>
      </c>
      <c r="B273" s="353" t="s">
        <v>119</v>
      </c>
      <c r="C273" s="33">
        <f>SUM(C274:C277)</f>
        <v>49100</v>
      </c>
      <c r="D273" s="23"/>
      <c r="E273" s="26"/>
      <c r="I273" s="388"/>
    </row>
    <row r="274" spans="1:9" s="13" customFormat="1" ht="13.5" customHeight="1" hidden="1">
      <c r="A274" s="13" t="s">
        <v>214</v>
      </c>
      <c r="B274" s="25" t="s">
        <v>387</v>
      </c>
      <c r="C274" s="821">
        <v>16000</v>
      </c>
      <c r="D274" s="23"/>
      <c r="E274" s="33"/>
      <c r="G274" s="25"/>
      <c r="I274" s="402"/>
    </row>
    <row r="275" spans="1:9" s="5" customFormat="1" ht="13.5" hidden="1">
      <c r="A275" s="107" t="s">
        <v>212</v>
      </c>
      <c r="B275" s="107" t="s">
        <v>211</v>
      </c>
      <c r="C275" s="821">
        <v>10800</v>
      </c>
      <c r="E275" s="22"/>
      <c r="F275" s="107"/>
      <c r="G275" s="22"/>
      <c r="I275" s="403"/>
    </row>
    <row r="276" spans="1:9" s="5" customFormat="1" ht="13.5" hidden="1">
      <c r="A276" s="107" t="s">
        <v>249</v>
      </c>
      <c r="B276" s="107" t="s">
        <v>248</v>
      </c>
      <c r="C276" s="821">
        <v>13300</v>
      </c>
      <c r="D276" s="22"/>
      <c r="E276" s="22"/>
      <c r="F276" s="107"/>
      <c r="I276" s="403"/>
    </row>
    <row r="277" spans="1:9" s="107" customFormat="1" ht="13.5" customHeight="1" hidden="1">
      <c r="A277" s="107" t="s">
        <v>210</v>
      </c>
      <c r="B277" s="107" t="s">
        <v>388</v>
      </c>
      <c r="C277" s="821">
        <v>9000</v>
      </c>
      <c r="E277" s="26"/>
      <c r="F277" s="142"/>
      <c r="G277" s="25"/>
      <c r="H277" s="13"/>
      <c r="I277" s="388"/>
    </row>
    <row r="278" spans="1:9" s="13" customFormat="1" ht="13.5" customHeight="1">
      <c r="A278" s="353" t="s">
        <v>134</v>
      </c>
      <c r="B278" s="26" t="s">
        <v>133</v>
      </c>
      <c r="C278" s="26">
        <f>SUM(C279:C285)</f>
        <v>466250</v>
      </c>
      <c r="D278" s="23"/>
      <c r="E278" s="33"/>
      <c r="G278" s="25"/>
      <c r="I278" s="402"/>
    </row>
    <row r="279" spans="1:9" s="13" customFormat="1" ht="13.5" customHeight="1" hidden="1">
      <c r="A279" s="107" t="s">
        <v>277</v>
      </c>
      <c r="B279" s="24" t="s">
        <v>276</v>
      </c>
      <c r="C279" s="821">
        <v>25500</v>
      </c>
      <c r="D279" s="23"/>
      <c r="E279" s="33"/>
      <c r="G279" s="25"/>
      <c r="I279" s="402"/>
    </row>
    <row r="280" spans="1:9" s="13" customFormat="1" ht="13.5" customHeight="1" hidden="1">
      <c r="A280" s="13" t="s">
        <v>389</v>
      </c>
      <c r="B280" s="25" t="s">
        <v>390</v>
      </c>
      <c r="C280" s="821">
        <v>135000</v>
      </c>
      <c r="D280" s="137"/>
      <c r="E280" s="33"/>
      <c r="G280" s="22"/>
      <c r="I280" s="402"/>
    </row>
    <row r="281" spans="1:9" s="13" customFormat="1" ht="13.5" customHeight="1" hidden="1">
      <c r="A281" s="13" t="s">
        <v>323</v>
      </c>
      <c r="B281" s="25" t="s">
        <v>324</v>
      </c>
      <c r="C281" s="821">
        <v>16500</v>
      </c>
      <c r="E281" s="33"/>
      <c r="G281" s="116"/>
      <c r="I281" s="402"/>
    </row>
    <row r="282" spans="1:9" s="13" customFormat="1" ht="13.5" customHeight="1" hidden="1">
      <c r="A282" s="107" t="s">
        <v>391</v>
      </c>
      <c r="B282" s="13" t="s">
        <v>392</v>
      </c>
      <c r="C282" s="821">
        <v>45000</v>
      </c>
      <c r="D282" s="137"/>
      <c r="E282" s="33"/>
      <c r="G282" s="25"/>
      <c r="I282" s="402"/>
    </row>
    <row r="283" spans="1:9" s="5" customFormat="1" ht="13.5" hidden="1">
      <c r="A283" s="107" t="s">
        <v>103</v>
      </c>
      <c r="B283" s="24" t="s">
        <v>78</v>
      </c>
      <c r="C283" s="821">
        <v>10250</v>
      </c>
      <c r="D283" s="22"/>
      <c r="E283" s="22"/>
      <c r="F283" s="107"/>
      <c r="I283" s="403"/>
    </row>
    <row r="284" spans="1:9" s="5" customFormat="1" ht="13.5" hidden="1">
      <c r="A284" s="107" t="s">
        <v>1187</v>
      </c>
      <c r="B284" s="57" t="s">
        <v>1188</v>
      </c>
      <c r="C284" s="821">
        <v>95000</v>
      </c>
      <c r="D284" s="22"/>
      <c r="E284" s="22"/>
      <c r="F284" s="107"/>
      <c r="I284" s="403"/>
    </row>
    <row r="285" spans="1:9" s="182" customFormat="1" ht="13.5" customHeight="1" hidden="1">
      <c r="A285" s="13" t="s">
        <v>1375</v>
      </c>
      <c r="B285" s="57" t="s">
        <v>1182</v>
      </c>
      <c r="C285" s="821">
        <v>139000</v>
      </c>
      <c r="D285" s="33"/>
      <c r="E285" s="379"/>
      <c r="F285" s="353"/>
      <c r="G285" s="22"/>
      <c r="I285" s="381"/>
    </row>
    <row r="286" spans="1:9" s="182" customFormat="1" ht="13.5" customHeight="1">
      <c r="A286" s="353" t="s">
        <v>467</v>
      </c>
      <c r="B286" s="26" t="s">
        <v>144</v>
      </c>
      <c r="C286" s="26">
        <f>SUM(C287:C288)</f>
        <v>25550</v>
      </c>
      <c r="D286" s="26"/>
      <c r="E286" s="379"/>
      <c r="F286" s="353"/>
      <c r="G286" s="22"/>
      <c r="I286" s="381"/>
    </row>
    <row r="287" spans="1:9" s="107" customFormat="1" ht="13.5" customHeight="1" hidden="1">
      <c r="A287" s="13" t="s">
        <v>170</v>
      </c>
      <c r="B287" s="25" t="s">
        <v>70</v>
      </c>
      <c r="C287" s="821">
        <v>13050</v>
      </c>
      <c r="D287" s="115"/>
      <c r="E287" s="26"/>
      <c r="F287" s="142"/>
      <c r="G287" s="22"/>
      <c r="H287" s="13"/>
      <c r="I287" s="388"/>
    </row>
    <row r="288" spans="1:9" s="397" customFormat="1" ht="13.5" customHeight="1" hidden="1">
      <c r="A288" s="107" t="s">
        <v>173</v>
      </c>
      <c r="B288" s="24" t="s">
        <v>144</v>
      </c>
      <c r="C288" s="821">
        <v>12500</v>
      </c>
      <c r="D288" s="395"/>
      <c r="E288" s="396"/>
      <c r="F288" s="353"/>
      <c r="I288" s="398"/>
    </row>
    <row r="289" spans="1:9" s="182" customFormat="1" ht="13.5" customHeight="1" thickBot="1">
      <c r="A289" s="107"/>
      <c r="B289" s="107"/>
      <c r="C289" s="24"/>
      <c r="D289" s="26"/>
      <c r="E289" s="379"/>
      <c r="F289" s="353"/>
      <c r="G289" s="176"/>
      <c r="H289" s="455"/>
      <c r="I289" s="381"/>
    </row>
    <row r="290" spans="1:10" s="182" customFormat="1" ht="13.5" customHeight="1" thickBot="1">
      <c r="A290" s="949" t="s">
        <v>3</v>
      </c>
      <c r="B290" s="950"/>
      <c r="C290" s="36">
        <f>C291+C295+C301+C304+C307+C310+C312</f>
        <v>4508300</v>
      </c>
      <c r="G290" s="380"/>
      <c r="H290" s="396"/>
      <c r="I290" s="353"/>
      <c r="J290" s="176"/>
    </row>
    <row r="291" spans="1:9" s="178" customFormat="1" ht="13.5" customHeight="1">
      <c r="A291" s="12" t="s">
        <v>120</v>
      </c>
      <c r="B291" s="817" t="s">
        <v>121</v>
      </c>
      <c r="C291" s="490">
        <f>SUM(C292:C294)</f>
        <v>3153000</v>
      </c>
      <c r="G291" s="399"/>
      <c r="H291" s="399"/>
      <c r="I291" s="142"/>
    </row>
    <row r="292" spans="1:9" s="178" customFormat="1" ht="13.5" customHeight="1" hidden="1">
      <c r="A292" s="13" t="s">
        <v>393</v>
      </c>
      <c r="B292" s="57" t="s">
        <v>394</v>
      </c>
      <c r="C292" s="839">
        <f>385000+288000</f>
        <v>673000</v>
      </c>
      <c r="G292" s="399"/>
      <c r="H292" s="399"/>
      <c r="I292" s="142"/>
    </row>
    <row r="293" spans="1:9" s="178" customFormat="1" ht="13.5" customHeight="1" hidden="1">
      <c r="A293" s="13" t="s">
        <v>395</v>
      </c>
      <c r="B293" s="57" t="s">
        <v>396</v>
      </c>
      <c r="C293" s="839">
        <f>220000*11</f>
        <v>2420000</v>
      </c>
      <c r="G293" s="629"/>
      <c r="H293" s="457"/>
      <c r="I293" s="458"/>
    </row>
    <row r="294" spans="1:10" s="107" customFormat="1" ht="13.5" customHeight="1" hidden="1">
      <c r="A294" s="13" t="s">
        <v>57</v>
      </c>
      <c r="B294" s="13" t="s">
        <v>18</v>
      </c>
      <c r="C294" s="821">
        <v>60000</v>
      </c>
      <c r="G294" s="459"/>
      <c r="H294" s="460"/>
      <c r="I294" s="458"/>
      <c r="J294" s="25"/>
    </row>
    <row r="295" spans="1:9" s="107" customFormat="1" ht="13.5" customHeight="1">
      <c r="A295" s="12" t="s">
        <v>130</v>
      </c>
      <c r="B295" s="12" t="s">
        <v>131</v>
      </c>
      <c r="C295" s="33">
        <f>SUM(C296:C300)</f>
        <v>165800</v>
      </c>
      <c r="D295" s="116"/>
      <c r="E295" s="26"/>
      <c r="F295" s="142"/>
      <c r="G295" s="25"/>
      <c r="H295" s="13"/>
      <c r="I295" s="388"/>
    </row>
    <row r="296" spans="1:9" s="107" customFormat="1" ht="13.5" customHeight="1" hidden="1">
      <c r="A296" s="13" t="s">
        <v>327</v>
      </c>
      <c r="B296" s="13" t="s">
        <v>328</v>
      </c>
      <c r="C296" s="836">
        <v>112000</v>
      </c>
      <c r="D296" s="116"/>
      <c r="E296" s="26"/>
      <c r="F296" s="142"/>
      <c r="G296" s="25"/>
      <c r="H296" s="13"/>
      <c r="I296" s="388"/>
    </row>
    <row r="297" spans="1:9" s="182" customFormat="1" ht="13.5" customHeight="1" hidden="1">
      <c r="A297" s="13" t="s">
        <v>207</v>
      </c>
      <c r="B297" s="13" t="s">
        <v>397</v>
      </c>
      <c r="C297" s="836">
        <v>11300</v>
      </c>
      <c r="D297" s="399"/>
      <c r="E297" s="411"/>
      <c r="F297" s="353"/>
      <c r="I297" s="381"/>
    </row>
    <row r="298" spans="1:9" s="182" customFormat="1" ht="13.5" customHeight="1" hidden="1">
      <c r="A298" s="13" t="s">
        <v>245</v>
      </c>
      <c r="B298" s="13" t="s">
        <v>244</v>
      </c>
      <c r="C298" s="836">
        <v>14000</v>
      </c>
      <c r="D298" s="399"/>
      <c r="E298" s="411"/>
      <c r="F298" s="353"/>
      <c r="I298" s="381"/>
    </row>
    <row r="299" spans="1:9" s="182" customFormat="1" ht="13.5" customHeight="1" hidden="1">
      <c r="A299" s="13" t="s">
        <v>153</v>
      </c>
      <c r="B299" s="13" t="s">
        <v>1163</v>
      </c>
      <c r="C299" s="836">
        <v>20000</v>
      </c>
      <c r="D299" s="399"/>
      <c r="E299" s="411"/>
      <c r="I299" s="381"/>
    </row>
    <row r="300" spans="1:9" s="208" customFormat="1" ht="13.5" hidden="1">
      <c r="A300" s="13" t="s">
        <v>148</v>
      </c>
      <c r="B300" s="13" t="s">
        <v>77</v>
      </c>
      <c r="C300" s="821">
        <v>8500</v>
      </c>
      <c r="D300" s="33"/>
      <c r="E300" s="172"/>
      <c r="F300" s="25"/>
      <c r="I300" s="407"/>
    </row>
    <row r="301" spans="1:9" s="182" customFormat="1" ht="13.5" customHeight="1">
      <c r="A301" s="12" t="s">
        <v>398</v>
      </c>
      <c r="B301" s="12" t="s">
        <v>399</v>
      </c>
      <c r="C301" s="33">
        <f>SUM(C302:C303)</f>
        <v>225000</v>
      </c>
      <c r="D301" s="172"/>
      <c r="E301" s="172"/>
      <c r="F301" s="13"/>
      <c r="G301" s="176"/>
      <c r="H301" s="456"/>
      <c r="I301" s="381"/>
    </row>
    <row r="302" spans="1:10" s="208" customFormat="1" ht="13.5" hidden="1">
      <c r="A302" s="13" t="s">
        <v>400</v>
      </c>
      <c r="B302" s="13" t="s">
        <v>401</v>
      </c>
      <c r="C302" s="821">
        <v>45000</v>
      </c>
      <c r="H302" s="25"/>
      <c r="I302" s="172"/>
      <c r="J302" s="25"/>
    </row>
    <row r="303" spans="1:9" s="182" customFormat="1" ht="13.5" customHeight="1" hidden="1">
      <c r="A303" s="13" t="s">
        <v>404</v>
      </c>
      <c r="B303" s="13" t="s">
        <v>405</v>
      </c>
      <c r="C303" s="821">
        <v>180000</v>
      </c>
      <c r="G303" s="176"/>
      <c r="H303" s="461"/>
      <c r="I303" s="172"/>
    </row>
    <row r="304" spans="1:10" s="208" customFormat="1" ht="13.5">
      <c r="A304" s="12" t="s">
        <v>122</v>
      </c>
      <c r="B304" s="12" t="s">
        <v>175</v>
      </c>
      <c r="C304" s="33">
        <f>SUM(C305:C306)</f>
        <v>421000</v>
      </c>
      <c r="H304" s="172"/>
      <c r="I304" s="107"/>
      <c r="J304" s="182"/>
    </row>
    <row r="305" spans="1:10" s="208" customFormat="1" ht="13.5" hidden="1">
      <c r="A305" s="13" t="s">
        <v>150</v>
      </c>
      <c r="B305" s="13" t="s">
        <v>149</v>
      </c>
      <c r="C305" s="821">
        <v>6000</v>
      </c>
      <c r="H305" s="25"/>
      <c r="I305" s="172"/>
      <c r="J305" s="25"/>
    </row>
    <row r="306" spans="1:10" s="208" customFormat="1" ht="13.5" hidden="1">
      <c r="A306" s="13" t="s">
        <v>53</v>
      </c>
      <c r="B306" s="25" t="s">
        <v>97</v>
      </c>
      <c r="C306" s="821">
        <v>415000</v>
      </c>
      <c r="H306" s="25"/>
      <c r="I306" s="172"/>
      <c r="J306" s="25"/>
    </row>
    <row r="307" spans="1:10" s="208" customFormat="1" ht="13.5">
      <c r="A307" s="12" t="s">
        <v>123</v>
      </c>
      <c r="B307" s="33" t="s">
        <v>124</v>
      </c>
      <c r="C307" s="33">
        <f>SUM(C308:C309)</f>
        <v>60500</v>
      </c>
      <c r="H307" s="25"/>
      <c r="I307" s="172"/>
      <c r="J307" s="25"/>
    </row>
    <row r="308" spans="1:10" s="208" customFormat="1" ht="13.5" hidden="1">
      <c r="A308" s="13" t="s">
        <v>184</v>
      </c>
      <c r="B308" s="57" t="s">
        <v>83</v>
      </c>
      <c r="C308" s="821">
        <v>52500</v>
      </c>
      <c r="H308" s="25"/>
      <c r="I308" s="172"/>
      <c r="J308" s="25"/>
    </row>
    <row r="309" spans="1:10" s="208" customFormat="1" ht="13.5" hidden="1">
      <c r="A309" s="13" t="s">
        <v>98</v>
      </c>
      <c r="B309" s="25" t="s">
        <v>69</v>
      </c>
      <c r="C309" s="821">
        <v>8000</v>
      </c>
      <c r="H309" s="25"/>
      <c r="I309" s="172"/>
      <c r="J309" s="25"/>
    </row>
    <row r="310" spans="1:10" s="208" customFormat="1" ht="13.5">
      <c r="A310" s="12" t="s">
        <v>143</v>
      </c>
      <c r="B310" s="12" t="s">
        <v>61</v>
      </c>
      <c r="C310" s="33">
        <f>SUM(C311)</f>
        <v>12000</v>
      </c>
      <c r="H310" s="25"/>
      <c r="I310" s="172"/>
      <c r="J310" s="25"/>
    </row>
    <row r="311" spans="1:10" s="208" customFormat="1" ht="13.5" hidden="1">
      <c r="A311" s="13" t="s">
        <v>60</v>
      </c>
      <c r="B311" s="13" t="s">
        <v>61</v>
      </c>
      <c r="C311" s="821">
        <v>12000</v>
      </c>
      <c r="H311" s="25"/>
      <c r="I311" s="172"/>
      <c r="J311" s="25"/>
    </row>
    <row r="312" spans="1:10" s="208" customFormat="1" ht="13.5">
      <c r="A312" s="12" t="s">
        <v>125</v>
      </c>
      <c r="B312" s="33" t="s">
        <v>8</v>
      </c>
      <c r="C312" s="33">
        <f>SUM(C313:C316)</f>
        <v>471000</v>
      </c>
      <c r="H312" s="25"/>
      <c r="I312" s="172"/>
      <c r="J312" s="25"/>
    </row>
    <row r="313" spans="1:9" s="182" customFormat="1" ht="13.5" customHeight="1" hidden="1">
      <c r="A313" s="13" t="s">
        <v>102</v>
      </c>
      <c r="B313" s="25" t="s">
        <v>8</v>
      </c>
      <c r="C313" s="821">
        <v>275000</v>
      </c>
      <c r="G313" s="176"/>
      <c r="H313" s="435"/>
      <c r="I313" s="435"/>
    </row>
    <row r="314" spans="1:10" s="5" customFormat="1" ht="13.5" hidden="1">
      <c r="A314" s="13" t="s">
        <v>205</v>
      </c>
      <c r="B314" s="25" t="s">
        <v>54</v>
      </c>
      <c r="C314" s="821">
        <v>6000</v>
      </c>
      <c r="H314" s="25"/>
      <c r="I314" s="353"/>
      <c r="J314" s="25"/>
    </row>
    <row r="315" spans="1:10" s="5" customFormat="1" ht="13.5" hidden="1">
      <c r="A315" s="13" t="s">
        <v>242</v>
      </c>
      <c r="B315" s="57" t="s">
        <v>241</v>
      </c>
      <c r="C315" s="821">
        <v>0</v>
      </c>
      <c r="H315" s="25"/>
      <c r="I315" s="353"/>
      <c r="J315" s="25"/>
    </row>
    <row r="316" spans="1:10" s="182" customFormat="1" ht="13.5" customHeight="1" hidden="1">
      <c r="A316" s="13" t="s">
        <v>100</v>
      </c>
      <c r="B316" s="25" t="s">
        <v>7</v>
      </c>
      <c r="C316" s="821">
        <v>190000</v>
      </c>
      <c r="G316" s="176"/>
      <c r="H316" s="435"/>
      <c r="I316" s="353"/>
      <c r="J316" s="353"/>
    </row>
    <row r="317" spans="1:9" s="182" customFormat="1" ht="13.5" customHeight="1" thickBot="1">
      <c r="A317" s="13"/>
      <c r="B317" s="25"/>
      <c r="C317" s="25"/>
      <c r="D317" s="435"/>
      <c r="E317" s="435"/>
      <c r="F317" s="353"/>
      <c r="G317" s="176"/>
      <c r="H317" s="456"/>
      <c r="I317" s="381"/>
    </row>
    <row r="318" spans="1:9" s="107" customFormat="1" ht="13.5" customHeight="1" thickBot="1">
      <c r="A318" s="953" t="s">
        <v>5</v>
      </c>
      <c r="B318" s="954"/>
      <c r="C318" s="37">
        <f>C319</f>
        <v>1953000</v>
      </c>
      <c r="D318" s="115"/>
      <c r="E318" s="24"/>
      <c r="F318" s="314"/>
      <c r="G318" s="25"/>
      <c r="H318" s="25"/>
      <c r="I318" s="388"/>
    </row>
    <row r="319" spans="1:9" s="142" customFormat="1" ht="13.5" customHeight="1">
      <c r="A319" s="12" t="s">
        <v>139</v>
      </c>
      <c r="B319" s="12" t="s">
        <v>140</v>
      </c>
      <c r="C319" s="34">
        <f>SUM(C320:C321)</f>
        <v>1953000</v>
      </c>
      <c r="I319" s="462"/>
    </row>
    <row r="320" spans="1:9" s="182" customFormat="1" ht="13.5" customHeight="1" hidden="1">
      <c r="A320" s="13" t="s">
        <v>361</v>
      </c>
      <c r="B320" s="13" t="s">
        <v>362</v>
      </c>
      <c r="C320" s="821">
        <v>45000</v>
      </c>
      <c r="D320" s="24"/>
      <c r="F320" s="353"/>
      <c r="I320" s="381"/>
    </row>
    <row r="321" spans="1:9" s="107" customFormat="1" ht="13.5" customHeight="1" hidden="1">
      <c r="A321" s="13" t="s">
        <v>159</v>
      </c>
      <c r="B321" s="13" t="s">
        <v>158</v>
      </c>
      <c r="C321" s="821">
        <f>1987500/1.25*1.2</f>
        <v>1908000</v>
      </c>
      <c r="F321" s="314"/>
      <c r="G321" s="25"/>
      <c r="H321" s="24"/>
      <c r="I321" s="388"/>
    </row>
    <row r="322" spans="1:9" s="182" customFormat="1" ht="13.5" customHeight="1" thickBot="1">
      <c r="A322" s="107"/>
      <c r="B322" s="13"/>
      <c r="C322" s="24"/>
      <c r="D322" s="26"/>
      <c r="E322" s="24"/>
      <c r="F322" s="353"/>
      <c r="I322" s="381"/>
    </row>
    <row r="323" spans="1:9" s="182" customFormat="1" ht="13.5" customHeight="1" thickBot="1">
      <c r="A323" s="951" t="s">
        <v>4</v>
      </c>
      <c r="B323" s="952"/>
      <c r="C323" s="32">
        <f>C324+C327+C329</f>
        <v>73800</v>
      </c>
      <c r="D323" s="380"/>
      <c r="E323" s="379"/>
      <c r="F323" s="353"/>
      <c r="G323" s="176"/>
      <c r="H323" s="456"/>
      <c r="I323" s="381"/>
    </row>
    <row r="324" spans="1:9" s="178" customFormat="1" ht="13.5" customHeight="1">
      <c r="A324" s="350" t="s">
        <v>201</v>
      </c>
      <c r="B324" s="817" t="s">
        <v>200</v>
      </c>
      <c r="C324" s="34">
        <f>SUM(C325:C326)</f>
        <v>46300</v>
      </c>
      <c r="D324" s="399"/>
      <c r="E324" s="399"/>
      <c r="F324" s="142"/>
      <c r="H324" s="463"/>
      <c r="I324" s="431"/>
    </row>
    <row r="325" spans="1:9" s="182" customFormat="1" ht="13.5" customHeight="1" hidden="1">
      <c r="A325" s="378" t="s">
        <v>197</v>
      </c>
      <c r="B325" s="378" t="s">
        <v>411</v>
      </c>
      <c r="C325" s="836">
        <v>25500</v>
      </c>
      <c r="D325" s="435"/>
      <c r="E325" s="379"/>
      <c r="F325" s="353"/>
      <c r="G325" s="176"/>
      <c r="H325" s="455"/>
      <c r="I325" s="381"/>
    </row>
    <row r="326" spans="1:9" s="182" customFormat="1" ht="13.5" customHeight="1" hidden="1">
      <c r="A326" s="378" t="s">
        <v>468</v>
      </c>
      <c r="B326" s="378" t="s">
        <v>194</v>
      </c>
      <c r="C326" s="836">
        <v>20800</v>
      </c>
      <c r="D326" s="380"/>
      <c r="E326" s="379"/>
      <c r="F326" s="353"/>
      <c r="G326" s="176"/>
      <c r="H326" s="456"/>
      <c r="I326" s="381"/>
    </row>
    <row r="327" spans="1:9" s="182" customFormat="1" ht="13.5" customHeight="1">
      <c r="A327" s="353" t="s">
        <v>126</v>
      </c>
      <c r="B327" s="817" t="s">
        <v>127</v>
      </c>
      <c r="C327" s="396">
        <f>SUM(C328)</f>
        <v>18000</v>
      </c>
      <c r="D327" s="380"/>
      <c r="E327" s="379"/>
      <c r="F327" s="353"/>
      <c r="G327" s="176"/>
      <c r="H327" s="456"/>
      <c r="I327" s="381"/>
    </row>
    <row r="328" spans="1:9" s="433" customFormat="1" ht="13.5" customHeight="1" hidden="1">
      <c r="A328" s="107" t="s">
        <v>101</v>
      </c>
      <c r="B328" s="107" t="s">
        <v>152</v>
      </c>
      <c r="C328" s="821">
        <v>18000</v>
      </c>
      <c r="D328" s="436"/>
      <c r="E328" s="25"/>
      <c r="F328" s="13"/>
      <c r="I328" s="434"/>
    </row>
    <row r="329" spans="1:9" s="5" customFormat="1" ht="13.5">
      <c r="A329" s="350" t="s">
        <v>188</v>
      </c>
      <c r="B329" s="12" t="s">
        <v>145</v>
      </c>
      <c r="C329" s="26">
        <f>SUM(C330)</f>
        <v>9500</v>
      </c>
      <c r="D329" s="22"/>
      <c r="E329" s="22"/>
      <c r="F329" s="107"/>
      <c r="I329" s="403"/>
    </row>
    <row r="330" spans="1:9" s="182" customFormat="1" ht="13.5" customHeight="1" hidden="1">
      <c r="A330" s="378" t="s">
        <v>189</v>
      </c>
      <c r="B330" s="13" t="s">
        <v>56</v>
      </c>
      <c r="C330" s="836">
        <v>9500</v>
      </c>
      <c r="D330" s="380"/>
      <c r="E330" s="379"/>
      <c r="F330" s="353"/>
      <c r="G330" s="176"/>
      <c r="H330" s="464"/>
      <c r="I330" s="381"/>
    </row>
    <row r="331" spans="1:9" s="433" customFormat="1" ht="13.5" customHeight="1">
      <c r="A331" s="107"/>
      <c r="B331" s="107"/>
      <c r="C331" s="24"/>
      <c r="D331" s="436"/>
      <c r="E331" s="25"/>
      <c r="F331" s="13"/>
      <c r="I331" s="434"/>
    </row>
    <row r="332" spans="1:9" s="182" customFormat="1" ht="13.5" customHeight="1" thickBot="1">
      <c r="A332" s="190"/>
      <c r="B332" s="190"/>
      <c r="C332" s="411"/>
      <c r="D332" s="383"/>
      <c r="E332" s="411"/>
      <c r="F332" s="353"/>
      <c r="I332" s="381"/>
    </row>
    <row r="333" spans="1:9" s="182" customFormat="1" ht="13.5" customHeight="1">
      <c r="A333" s="356" t="s">
        <v>422</v>
      </c>
      <c r="B333" s="357"/>
      <c r="C333" s="412"/>
      <c r="D333" s="413" t="s">
        <v>6</v>
      </c>
      <c r="E333" s="360">
        <v>1305</v>
      </c>
      <c r="F333" s="353"/>
      <c r="I333" s="381"/>
    </row>
    <row r="334" spans="1:9" s="182" customFormat="1" ht="13.5" customHeight="1" thickBot="1">
      <c r="A334" s="361"/>
      <c r="B334" s="362"/>
      <c r="C334" s="416"/>
      <c r="D334" s="417"/>
      <c r="E334" s="365"/>
      <c r="F334" s="353"/>
      <c r="I334" s="381"/>
    </row>
    <row r="335" spans="1:9" s="182" customFormat="1" ht="13.5" customHeight="1">
      <c r="A335" s="261" t="s">
        <v>423</v>
      </c>
      <c r="B335" s="418"/>
      <c r="C335" s="419"/>
      <c r="D335" s="420"/>
      <c r="E335" s="421"/>
      <c r="F335" s="353"/>
      <c r="I335" s="381"/>
    </row>
    <row r="336" spans="1:9" s="182" customFormat="1" ht="13.5" customHeight="1" thickBot="1">
      <c r="A336" s="361" t="s">
        <v>424</v>
      </c>
      <c r="B336" s="362"/>
      <c r="C336" s="416"/>
      <c r="D336" s="426"/>
      <c r="E336" s="427"/>
      <c r="F336" s="353"/>
      <c r="I336" s="381"/>
    </row>
    <row r="337" spans="1:9" s="182" customFormat="1" ht="13.5" customHeight="1">
      <c r="A337" s="371" t="s">
        <v>1365</v>
      </c>
      <c r="B337" s="69"/>
      <c r="C337" s="411"/>
      <c r="D337" s="383"/>
      <c r="E337" s="428"/>
      <c r="F337" s="353"/>
      <c r="I337" s="381"/>
    </row>
    <row r="338" spans="1:9" s="182" customFormat="1" ht="13.5" customHeight="1">
      <c r="A338" s="371" t="s">
        <v>421</v>
      </c>
      <c r="B338" s="69"/>
      <c r="C338" s="411"/>
      <c r="D338" s="383"/>
      <c r="E338" s="428"/>
      <c r="F338" s="353"/>
      <c r="I338" s="381"/>
    </row>
    <row r="339" spans="1:9" s="182" customFormat="1" ht="13.5" customHeight="1">
      <c r="A339" s="371" t="s">
        <v>1421</v>
      </c>
      <c r="B339" s="69"/>
      <c r="C339" s="411"/>
      <c r="D339" s="383"/>
      <c r="E339" s="428"/>
      <c r="F339" s="353"/>
      <c r="I339" s="381"/>
    </row>
    <row r="340" spans="1:9" s="182" customFormat="1" ht="13.5" customHeight="1" thickBot="1">
      <c r="A340" s="371" t="s">
        <v>11</v>
      </c>
      <c r="B340" s="69"/>
      <c r="C340" s="411"/>
      <c r="D340" s="383"/>
      <c r="E340" s="428"/>
      <c r="F340" s="353"/>
      <c r="I340" s="381"/>
    </row>
    <row r="341" spans="1:9" s="429" customFormat="1" ht="13.5" customHeight="1" thickBot="1">
      <c r="A341" s="373" t="s">
        <v>0</v>
      </c>
      <c r="B341" s="374"/>
      <c r="C341" s="375"/>
      <c r="D341" s="376"/>
      <c r="E341" s="377">
        <f>C343</f>
        <v>230000</v>
      </c>
      <c r="F341" s="26"/>
      <c r="I341" s="430"/>
    </row>
    <row r="342" spans="1:9" s="182" customFormat="1" ht="13.5" customHeight="1" thickBot="1">
      <c r="A342" s="378"/>
      <c r="B342" s="378"/>
      <c r="C342" s="379"/>
      <c r="D342" s="380"/>
      <c r="E342" s="379"/>
      <c r="F342" s="353"/>
      <c r="I342" s="381"/>
    </row>
    <row r="343" spans="1:9" s="182" customFormat="1" ht="13.5" customHeight="1" thickBot="1">
      <c r="A343" s="953" t="s">
        <v>5</v>
      </c>
      <c r="B343" s="954"/>
      <c r="C343" s="37">
        <f>C344+C346</f>
        <v>230000</v>
      </c>
      <c r="D343" s="441"/>
      <c r="E343" s="442"/>
      <c r="F343" s="353"/>
      <c r="I343" s="381"/>
    </row>
    <row r="344" spans="1:9" s="178" customFormat="1" ht="13.5" customHeight="1">
      <c r="A344" s="12" t="s">
        <v>137</v>
      </c>
      <c r="B344" s="12" t="s">
        <v>138</v>
      </c>
      <c r="C344" s="34">
        <f>SUM(C345)</f>
        <v>150000</v>
      </c>
      <c r="D344" s="399"/>
      <c r="E344" s="443"/>
      <c r="F344" s="142"/>
      <c r="I344" s="431"/>
    </row>
    <row r="345" spans="1:11" s="446" customFormat="1" ht="13.5" customHeight="1" hidden="1">
      <c r="A345" s="13" t="s">
        <v>425</v>
      </c>
      <c r="B345" s="13" t="s">
        <v>426</v>
      </c>
      <c r="C345" s="821">
        <v>150000</v>
      </c>
      <c r="D345" s="13"/>
      <c r="E345" s="444"/>
      <c r="F345" s="445"/>
      <c r="G345" s="13"/>
      <c r="H345" s="13"/>
      <c r="I345" s="402"/>
      <c r="J345" s="13"/>
      <c r="K345" s="13"/>
    </row>
    <row r="346" spans="1:11" s="446" customFormat="1" ht="13.5" customHeight="1">
      <c r="A346" s="12" t="s">
        <v>139</v>
      </c>
      <c r="B346" s="12" t="s">
        <v>140</v>
      </c>
      <c r="C346" s="33">
        <f>SUM(C347)</f>
        <v>80000</v>
      </c>
      <c r="D346" s="13"/>
      <c r="E346" s="444"/>
      <c r="F346" s="445"/>
      <c r="G346" s="13"/>
      <c r="H346" s="13"/>
      <c r="I346" s="402"/>
      <c r="J346" s="13"/>
      <c r="K346" s="13"/>
    </row>
    <row r="347" spans="1:11" s="446" customFormat="1" ht="13.5" customHeight="1" hidden="1">
      <c r="A347" s="13" t="s">
        <v>427</v>
      </c>
      <c r="B347" s="13" t="s">
        <v>428</v>
      </c>
      <c r="C347" s="821">
        <v>80000</v>
      </c>
      <c r="D347" s="13"/>
      <c r="E347" s="444"/>
      <c r="F347" s="445"/>
      <c r="G347" s="13"/>
      <c r="H347" s="13"/>
      <c r="I347" s="402"/>
      <c r="J347" s="13"/>
      <c r="K347" s="13"/>
    </row>
    <row r="348" spans="1:9" s="182" customFormat="1" ht="13.5" customHeight="1">
      <c r="A348" s="107"/>
      <c r="B348" s="107"/>
      <c r="C348" s="29"/>
      <c r="D348" s="380"/>
      <c r="E348" s="379"/>
      <c r="F348" s="353"/>
      <c r="I348" s="381"/>
    </row>
    <row r="349" spans="1:9" s="182" customFormat="1" ht="13.5" customHeight="1">
      <c r="A349" s="465"/>
      <c r="B349" s="465"/>
      <c r="C349" s="466"/>
      <c r="D349" s="467"/>
      <c r="E349" s="466"/>
      <c r="F349" s="353"/>
      <c r="I349" s="381"/>
    </row>
    <row r="350" spans="1:9" s="182" customFormat="1" ht="13.5" customHeight="1">
      <c r="A350" s="344" t="s">
        <v>469</v>
      </c>
      <c r="B350" s="344"/>
      <c r="C350" s="25"/>
      <c r="D350" s="24"/>
      <c r="E350" s="379"/>
      <c r="F350" s="353"/>
      <c r="I350" s="381"/>
    </row>
    <row r="351" spans="1:9" s="182" customFormat="1" ht="13.5" customHeight="1">
      <c r="A351" s="468"/>
      <c r="B351" s="344"/>
      <c r="C351" s="25"/>
      <c r="D351" s="24"/>
      <c r="E351" s="379"/>
      <c r="F351" s="353"/>
      <c r="I351" s="381"/>
    </row>
    <row r="352" spans="1:9" s="176" customFormat="1" ht="13.5" customHeight="1" thickBot="1">
      <c r="A352" s="69"/>
      <c r="B352" s="69"/>
      <c r="C352" s="411"/>
      <c r="D352" s="383"/>
      <c r="E352" s="411"/>
      <c r="F352" s="12"/>
      <c r="I352" s="451"/>
    </row>
    <row r="353" spans="1:9" s="469" customFormat="1" ht="13.5" customHeight="1">
      <c r="A353" s="356" t="s">
        <v>470</v>
      </c>
      <c r="B353" s="357"/>
      <c r="C353" s="412"/>
      <c r="D353" s="413" t="s">
        <v>471</v>
      </c>
      <c r="E353" s="360">
        <v>1306</v>
      </c>
      <c r="F353" s="353"/>
      <c r="I353" s="470"/>
    </row>
    <row r="354" spans="1:9" s="469" customFormat="1" ht="13.5" customHeight="1" thickBot="1">
      <c r="A354" s="471"/>
      <c r="B354" s="362"/>
      <c r="C354" s="416"/>
      <c r="D354" s="417"/>
      <c r="E354" s="365"/>
      <c r="F354" s="353"/>
      <c r="I354" s="470"/>
    </row>
    <row r="355" spans="1:9" s="469" customFormat="1" ht="13.5" customHeight="1">
      <c r="A355" s="261" t="s">
        <v>472</v>
      </c>
      <c r="B355" s="418"/>
      <c r="C355" s="419"/>
      <c r="D355" s="420"/>
      <c r="E355" s="421"/>
      <c r="F355" s="353"/>
      <c r="I355" s="470"/>
    </row>
    <row r="356" spans="1:9" s="469" customFormat="1" ht="13.5" customHeight="1">
      <c r="A356" s="261" t="s">
        <v>473</v>
      </c>
      <c r="B356" s="418"/>
      <c r="C356" s="419"/>
      <c r="D356" s="420"/>
      <c r="E356" s="421"/>
      <c r="F356" s="353"/>
      <c r="I356" s="470"/>
    </row>
    <row r="357" spans="1:9" s="469" customFormat="1" ht="13.5" customHeight="1" thickBot="1">
      <c r="A357" s="361" t="s">
        <v>474</v>
      </c>
      <c r="B357" s="362"/>
      <c r="C357" s="416"/>
      <c r="D357" s="426"/>
      <c r="E357" s="427"/>
      <c r="F357" s="353"/>
      <c r="I357" s="470"/>
    </row>
    <row r="358" spans="1:9" s="469" customFormat="1" ht="13.5" customHeight="1">
      <c r="A358" s="371" t="s">
        <v>1365</v>
      </c>
      <c r="B358" s="69"/>
      <c r="C358" s="411"/>
      <c r="D358" s="383"/>
      <c r="E358" s="428"/>
      <c r="F358" s="353"/>
      <c r="I358" s="470"/>
    </row>
    <row r="359" spans="1:9" s="469" customFormat="1" ht="13.5" customHeight="1">
      <c r="A359" s="371" t="s">
        <v>369</v>
      </c>
      <c r="B359" s="69"/>
      <c r="C359" s="411"/>
      <c r="D359" s="383"/>
      <c r="E359" s="428"/>
      <c r="F359" s="353"/>
      <c r="I359" s="470"/>
    </row>
    <row r="360" spans="1:9" s="469" customFormat="1" ht="13.5" customHeight="1">
      <c r="A360" s="371" t="s">
        <v>1421</v>
      </c>
      <c r="B360" s="69"/>
      <c r="C360" s="411"/>
      <c r="D360" s="383"/>
      <c r="E360" s="428"/>
      <c r="F360" s="353"/>
      <c r="I360" s="470"/>
    </row>
    <row r="361" spans="1:9" s="469" customFormat="1" ht="13.5" customHeight="1" thickBot="1">
      <c r="A361" s="371" t="s">
        <v>11</v>
      </c>
      <c r="B361" s="69"/>
      <c r="C361" s="472"/>
      <c r="D361" s="383"/>
      <c r="E361" s="428"/>
      <c r="F361" s="353"/>
      <c r="I361" s="470"/>
    </row>
    <row r="362" spans="1:9" s="469" customFormat="1" ht="13.5" customHeight="1" thickBot="1">
      <c r="A362" s="373" t="s">
        <v>475</v>
      </c>
      <c r="B362" s="374"/>
      <c r="C362" s="375"/>
      <c r="D362" s="376"/>
      <c r="E362" s="377">
        <f>C364+C376+C391</f>
        <v>9300000</v>
      </c>
      <c r="F362" s="26"/>
      <c r="I362" s="470"/>
    </row>
    <row r="363" spans="1:9" s="469" customFormat="1" ht="13.5" customHeight="1" thickBot="1">
      <c r="A363" s="373"/>
      <c r="B363" s="374"/>
      <c r="C363" s="375"/>
      <c r="D363" s="409"/>
      <c r="E363" s="406"/>
      <c r="F363" s="26"/>
      <c r="I363" s="470"/>
    </row>
    <row r="364" spans="1:9" s="182" customFormat="1" ht="13.5" customHeight="1" hidden="1" thickBot="1">
      <c r="A364" s="969" t="s">
        <v>2</v>
      </c>
      <c r="B364" s="970"/>
      <c r="C364" s="394">
        <f>C365+C372</f>
        <v>0</v>
      </c>
      <c r="D364" s="383"/>
      <c r="E364" s="411"/>
      <c r="F364" s="353"/>
      <c r="I364" s="381"/>
    </row>
    <row r="365" spans="1:9" s="13" customFormat="1" ht="13.5" customHeight="1" hidden="1">
      <c r="A365" s="353" t="s">
        <v>134</v>
      </c>
      <c r="B365" s="26" t="s">
        <v>133</v>
      </c>
      <c r="C365" s="26">
        <f>SUM(C366:C371)</f>
        <v>0</v>
      </c>
      <c r="D365" s="23"/>
      <c r="E365" s="33"/>
      <c r="G365" s="25"/>
      <c r="I365" s="402"/>
    </row>
    <row r="366" spans="1:9" s="13" customFormat="1" ht="13.5" customHeight="1" hidden="1">
      <c r="A366" s="107" t="s">
        <v>277</v>
      </c>
      <c r="B366" s="24" t="s">
        <v>276</v>
      </c>
      <c r="C366" s="809"/>
      <c r="D366" s="23"/>
      <c r="E366" s="33"/>
      <c r="G366" s="25"/>
      <c r="I366" s="402"/>
    </row>
    <row r="367" spans="1:9" s="13" customFormat="1" ht="13.5" customHeight="1" hidden="1">
      <c r="A367" s="13" t="s">
        <v>389</v>
      </c>
      <c r="B367" s="25" t="s">
        <v>390</v>
      </c>
      <c r="C367" s="809"/>
      <c r="D367" s="137"/>
      <c r="E367" s="33"/>
      <c r="G367" s="25"/>
      <c r="I367" s="402"/>
    </row>
    <row r="368" spans="1:9" s="13" customFormat="1" ht="13.5" customHeight="1" hidden="1">
      <c r="A368" s="13" t="s">
        <v>323</v>
      </c>
      <c r="B368" s="25" t="s">
        <v>324</v>
      </c>
      <c r="C368" s="809"/>
      <c r="D368" s="116"/>
      <c r="E368" s="33"/>
      <c r="G368" s="25"/>
      <c r="I368" s="402"/>
    </row>
    <row r="369" spans="1:9" s="13" customFormat="1" ht="13.5" customHeight="1" hidden="1">
      <c r="A369" s="107" t="s">
        <v>391</v>
      </c>
      <c r="B369" s="13" t="s">
        <v>392</v>
      </c>
      <c r="C369" s="809"/>
      <c r="D369" s="137"/>
      <c r="E369" s="33"/>
      <c r="G369" s="25"/>
      <c r="I369" s="402"/>
    </row>
    <row r="370" spans="1:9" s="5" customFormat="1" ht="13.5" hidden="1">
      <c r="A370" s="107" t="s">
        <v>103</v>
      </c>
      <c r="B370" s="24" t="s">
        <v>78</v>
      </c>
      <c r="C370" s="809"/>
      <c r="D370" s="22"/>
      <c r="E370" s="22"/>
      <c r="F370" s="107"/>
      <c r="I370" s="403"/>
    </row>
    <row r="371" spans="1:9" s="5" customFormat="1" ht="13.5" hidden="1">
      <c r="A371" s="107" t="s">
        <v>1187</v>
      </c>
      <c r="B371" s="57" t="s">
        <v>1188</v>
      </c>
      <c r="C371" s="809"/>
      <c r="D371" s="22"/>
      <c r="E371" s="22"/>
      <c r="F371" s="107"/>
      <c r="I371" s="403"/>
    </row>
    <row r="372" spans="1:9" s="5" customFormat="1" ht="13.5" hidden="1">
      <c r="A372" s="353" t="s">
        <v>169</v>
      </c>
      <c r="B372" s="26" t="s">
        <v>144</v>
      </c>
      <c r="C372" s="33">
        <f>SUM(C373:C374)</f>
        <v>0</v>
      </c>
      <c r="D372" s="22"/>
      <c r="E372" s="22"/>
      <c r="F372" s="107"/>
      <c r="I372" s="403"/>
    </row>
    <row r="373" spans="1:9" s="5" customFormat="1" ht="13.5" hidden="1">
      <c r="A373" s="107" t="s">
        <v>170</v>
      </c>
      <c r="B373" s="24" t="s">
        <v>70</v>
      </c>
      <c r="C373" s="809"/>
      <c r="D373" s="22"/>
      <c r="E373" s="22"/>
      <c r="F373" s="107"/>
      <c r="I373" s="403"/>
    </row>
    <row r="374" spans="1:9" s="13" customFormat="1" ht="13.5" customHeight="1" hidden="1">
      <c r="A374" s="107" t="s">
        <v>173</v>
      </c>
      <c r="B374" s="24" t="s">
        <v>144</v>
      </c>
      <c r="C374" s="809"/>
      <c r="D374" s="23"/>
      <c r="E374" s="33"/>
      <c r="G374" s="25"/>
      <c r="I374" s="402"/>
    </row>
    <row r="375" spans="1:9" s="182" customFormat="1" ht="13.5" customHeight="1" hidden="1" thickBot="1">
      <c r="A375" s="378"/>
      <c r="B375" s="378"/>
      <c r="C375" s="379"/>
      <c r="D375" s="383"/>
      <c r="E375" s="411"/>
      <c r="F375" s="353"/>
      <c r="I375" s="381"/>
    </row>
    <row r="376" spans="1:9" s="182" customFormat="1" ht="13.5" customHeight="1" hidden="1" thickBot="1">
      <c r="A376" s="971" t="s">
        <v>3</v>
      </c>
      <c r="B376" s="972"/>
      <c r="C376" s="405">
        <f>C377+C380+C385+C387</f>
        <v>0</v>
      </c>
      <c r="D376" s="24"/>
      <c r="E376" s="24"/>
      <c r="F376" s="353"/>
      <c r="I376" s="381"/>
    </row>
    <row r="377" spans="1:9" s="178" customFormat="1" ht="13.5" customHeight="1" hidden="1">
      <c r="A377" s="12" t="s">
        <v>120</v>
      </c>
      <c r="B377" s="817" t="s">
        <v>121</v>
      </c>
      <c r="C377" s="490">
        <f>SUM(C378:C379)</f>
        <v>0</v>
      </c>
      <c r="D377" s="137"/>
      <c r="E377" s="137"/>
      <c r="F377" s="142"/>
      <c r="I377" s="431"/>
    </row>
    <row r="378" spans="1:9" s="107" customFormat="1" ht="13.5" customHeight="1" hidden="1">
      <c r="A378" s="13" t="s">
        <v>393</v>
      </c>
      <c r="B378" s="13" t="s">
        <v>394</v>
      </c>
      <c r="C378" s="809"/>
      <c r="D378" s="116"/>
      <c r="E378" s="26"/>
      <c r="F378" s="142"/>
      <c r="G378" s="25"/>
      <c r="H378" s="13"/>
      <c r="I378" s="388"/>
    </row>
    <row r="379" spans="1:9" s="107" customFormat="1" ht="13.5" customHeight="1" hidden="1">
      <c r="A379" s="13" t="s">
        <v>57</v>
      </c>
      <c r="B379" s="13" t="s">
        <v>18</v>
      </c>
      <c r="C379" s="809"/>
      <c r="D379" s="116"/>
      <c r="E379" s="26"/>
      <c r="F379" s="142"/>
      <c r="G379" s="25"/>
      <c r="H379" s="13"/>
      <c r="I379" s="388"/>
    </row>
    <row r="380" spans="1:9" s="107" customFormat="1" ht="13.5" customHeight="1" hidden="1">
      <c r="A380" s="12" t="s">
        <v>130</v>
      </c>
      <c r="B380" s="12" t="s">
        <v>131</v>
      </c>
      <c r="C380" s="33">
        <f>SUM(C381:C384)</f>
        <v>0</v>
      </c>
      <c r="D380" s="116"/>
      <c r="E380" s="26"/>
      <c r="F380" s="142"/>
      <c r="G380" s="25"/>
      <c r="H380" s="13"/>
      <c r="I380" s="388"/>
    </row>
    <row r="381" spans="1:9" s="107" customFormat="1" ht="13.5" customHeight="1" hidden="1">
      <c r="A381" s="13" t="s">
        <v>327</v>
      </c>
      <c r="B381" s="13" t="s">
        <v>328</v>
      </c>
      <c r="C381" s="818"/>
      <c r="D381" s="116"/>
      <c r="E381" s="26"/>
      <c r="F381" s="142"/>
      <c r="G381" s="25"/>
      <c r="H381" s="13"/>
      <c r="I381" s="388"/>
    </row>
    <row r="382" spans="1:9" s="182" customFormat="1" ht="13.5" customHeight="1" hidden="1">
      <c r="A382" s="13" t="s">
        <v>245</v>
      </c>
      <c r="B382" s="13" t="s">
        <v>244</v>
      </c>
      <c r="C382" s="818"/>
      <c r="D382" s="399"/>
      <c r="E382" s="411"/>
      <c r="F382" s="353"/>
      <c r="I382" s="381"/>
    </row>
    <row r="383" spans="1:9" s="182" customFormat="1" ht="13.5" customHeight="1" hidden="1">
      <c r="A383" s="13" t="s">
        <v>153</v>
      </c>
      <c r="B383" s="13" t="s">
        <v>1163</v>
      </c>
      <c r="C383" s="818"/>
      <c r="D383" s="399"/>
      <c r="E383" s="411"/>
      <c r="F383" s="353"/>
      <c r="I383" s="381"/>
    </row>
    <row r="384" spans="1:9" s="208" customFormat="1" ht="13.5" hidden="1">
      <c r="A384" s="13" t="s">
        <v>148</v>
      </c>
      <c r="B384" s="13" t="s">
        <v>77</v>
      </c>
      <c r="C384" s="809"/>
      <c r="D384" s="33"/>
      <c r="E384" s="172"/>
      <c r="F384" s="25"/>
      <c r="I384" s="407"/>
    </row>
    <row r="385" spans="1:9" s="208" customFormat="1" ht="13.5" hidden="1">
      <c r="A385" s="12" t="s">
        <v>122</v>
      </c>
      <c r="B385" s="12" t="s">
        <v>175</v>
      </c>
      <c r="C385" s="33">
        <f>SUM(C386:C386)</f>
        <v>0</v>
      </c>
      <c r="I385" s="407"/>
    </row>
    <row r="386" spans="1:9" s="208" customFormat="1" ht="13.5" hidden="1">
      <c r="A386" s="13" t="s">
        <v>53</v>
      </c>
      <c r="B386" s="25" t="s">
        <v>97</v>
      </c>
      <c r="C386" s="809"/>
      <c r="F386" s="25"/>
      <c r="I386" s="407"/>
    </row>
    <row r="387" spans="1:9" s="208" customFormat="1" ht="13.5" hidden="1">
      <c r="A387" s="12" t="s">
        <v>125</v>
      </c>
      <c r="B387" s="12" t="s">
        <v>7</v>
      </c>
      <c r="C387" s="33">
        <f>SUM(C388:C389)</f>
        <v>0</v>
      </c>
      <c r="D387" s="26"/>
      <c r="E387" s="46"/>
      <c r="F387" s="25"/>
      <c r="I387" s="407"/>
    </row>
    <row r="388" spans="1:11" s="5" customFormat="1" ht="13.5" hidden="1">
      <c r="A388" s="13" t="s">
        <v>99</v>
      </c>
      <c r="B388" s="25" t="s">
        <v>8</v>
      </c>
      <c r="C388" s="809"/>
      <c r="D388" s="26"/>
      <c r="F388" s="314"/>
      <c r="G388" s="25"/>
      <c r="H388" s="25"/>
      <c r="I388" s="388"/>
      <c r="J388" s="107"/>
      <c r="K388" s="107"/>
    </row>
    <row r="389" spans="1:11" s="107" customFormat="1" ht="13.5" customHeight="1" hidden="1">
      <c r="A389" s="13" t="s">
        <v>100</v>
      </c>
      <c r="B389" s="25" t="s">
        <v>7</v>
      </c>
      <c r="C389" s="809"/>
      <c r="D389" s="25"/>
      <c r="E389" s="172"/>
      <c r="F389" s="25"/>
      <c r="G389" s="5"/>
      <c r="H389" s="5"/>
      <c r="I389" s="403"/>
      <c r="J389" s="5"/>
      <c r="K389" s="5"/>
    </row>
    <row r="390" spans="1:9" s="469" customFormat="1" ht="13.5" customHeight="1" hidden="1" thickBot="1">
      <c r="A390" s="473"/>
      <c r="B390" s="473"/>
      <c r="C390" s="474"/>
      <c r="D390" s="475"/>
      <c r="E390" s="406"/>
      <c r="F390" s="353"/>
      <c r="I390" s="470"/>
    </row>
    <row r="391" spans="1:9" s="433" customFormat="1" ht="13.5" customHeight="1" thickBot="1">
      <c r="A391" s="967" t="s">
        <v>476</v>
      </c>
      <c r="B391" s="968"/>
      <c r="C391" s="476">
        <f>C392</f>
        <v>9300000</v>
      </c>
      <c r="D391" s="441"/>
      <c r="E391" s="406"/>
      <c r="F391" s="353"/>
      <c r="I391" s="434"/>
    </row>
    <row r="392" spans="1:9" s="478" customFormat="1" ht="13.5" customHeight="1">
      <c r="A392" s="12" t="s">
        <v>477</v>
      </c>
      <c r="B392" s="404" t="s">
        <v>478</v>
      </c>
      <c r="C392" s="490">
        <f>SUM(C393:C400)</f>
        <v>9300000</v>
      </c>
      <c r="D392" s="477"/>
      <c r="E392" s="399"/>
      <c r="F392" s="142"/>
      <c r="I392" s="479"/>
    </row>
    <row r="393" spans="1:9" s="433" customFormat="1" ht="13.5" customHeight="1">
      <c r="A393" s="13" t="s">
        <v>479</v>
      </c>
      <c r="B393" s="13" t="s">
        <v>480</v>
      </c>
      <c r="C393" s="411">
        <v>1200000</v>
      </c>
      <c r="D393" s="399"/>
      <c r="E393" s="411"/>
      <c r="F393" s="353"/>
      <c r="I393" s="434"/>
    </row>
    <row r="394" spans="1:9" s="433" customFormat="1" ht="13.5" customHeight="1">
      <c r="A394" s="13" t="s">
        <v>481</v>
      </c>
      <c r="B394" s="13" t="s">
        <v>482</v>
      </c>
      <c r="C394" s="411">
        <v>500000</v>
      </c>
      <c r="D394" s="435"/>
      <c r="E394" s="379"/>
      <c r="F394" s="353"/>
      <c r="I394" s="434"/>
    </row>
    <row r="395" spans="1:9" s="433" customFormat="1" ht="13.5" customHeight="1">
      <c r="A395" s="13" t="s">
        <v>483</v>
      </c>
      <c r="B395" s="57" t="s">
        <v>484</v>
      </c>
      <c r="C395" s="481">
        <v>1200000</v>
      </c>
      <c r="D395" s="435"/>
      <c r="E395" s="379"/>
      <c r="F395" s="353"/>
      <c r="I395" s="434"/>
    </row>
    <row r="396" spans="1:10" s="433" customFormat="1" ht="13.5" customHeight="1">
      <c r="A396" s="13" t="s">
        <v>485</v>
      </c>
      <c r="B396" s="13" t="s">
        <v>486</v>
      </c>
      <c r="C396" s="481">
        <v>3000000</v>
      </c>
      <c r="D396" s="480"/>
      <c r="G396" s="379"/>
      <c r="J396" s="353"/>
    </row>
    <row r="397" spans="1:9" s="433" customFormat="1" ht="13.5" customHeight="1">
      <c r="A397" s="13" t="s">
        <v>487</v>
      </c>
      <c r="B397" s="13" t="s">
        <v>488</v>
      </c>
      <c r="C397" s="481">
        <v>1200000</v>
      </c>
      <c r="D397" s="13"/>
      <c r="E397" s="411"/>
      <c r="F397" s="12"/>
      <c r="I397" s="434"/>
    </row>
    <row r="398" spans="1:9" s="433" customFormat="1" ht="13.5" customHeight="1">
      <c r="A398" s="13" t="s">
        <v>489</v>
      </c>
      <c r="B398" s="13" t="s">
        <v>490</v>
      </c>
      <c r="C398" s="481">
        <v>1200000</v>
      </c>
      <c r="D398" s="437"/>
      <c r="E398" s="411"/>
      <c r="F398" s="12"/>
      <c r="I398" s="434"/>
    </row>
    <row r="399" spans="1:9" s="433" customFormat="1" ht="13.5" customHeight="1">
      <c r="A399" s="13" t="s">
        <v>491</v>
      </c>
      <c r="B399" s="57" t="s">
        <v>492</v>
      </c>
      <c r="C399" s="481">
        <v>500000</v>
      </c>
      <c r="D399" s="13"/>
      <c r="E399" s="411"/>
      <c r="F399" s="12"/>
      <c r="I399" s="434"/>
    </row>
    <row r="400" spans="1:9" s="433" customFormat="1" ht="13.5" customHeight="1">
      <c r="A400" s="13" t="s">
        <v>493</v>
      </c>
      <c r="B400" s="13" t="s">
        <v>494</v>
      </c>
      <c r="C400" s="299">
        <v>500000</v>
      </c>
      <c r="D400" s="13"/>
      <c r="E400" s="379"/>
      <c r="F400" s="353"/>
      <c r="I400" s="434"/>
    </row>
    <row r="401" spans="1:9" s="433" customFormat="1" ht="13.5" customHeight="1">
      <c r="A401" s="378"/>
      <c r="B401" s="13"/>
      <c r="C401" s="481"/>
      <c r="D401" s="790"/>
      <c r="E401" s="379"/>
      <c r="F401" s="353"/>
      <c r="I401" s="434"/>
    </row>
    <row r="402" spans="1:9" s="183" customFormat="1" ht="13.5" customHeight="1" thickBot="1">
      <c r="A402" s="465"/>
      <c r="B402" s="465"/>
      <c r="C402" s="466"/>
      <c r="D402" s="483"/>
      <c r="E402" s="379"/>
      <c r="F402" s="353"/>
      <c r="I402" s="392"/>
    </row>
    <row r="403" spans="1:9" s="469" customFormat="1" ht="13.5" customHeight="1">
      <c r="A403" s="356" t="s">
        <v>495</v>
      </c>
      <c r="B403" s="357"/>
      <c r="C403" s="484"/>
      <c r="D403" s="413" t="s">
        <v>6</v>
      </c>
      <c r="E403" s="360">
        <v>1307</v>
      </c>
      <c r="F403" s="353"/>
      <c r="I403" s="470"/>
    </row>
    <row r="404" spans="1:9" s="469" customFormat="1" ht="13.5" customHeight="1" thickBot="1">
      <c r="A404" s="361"/>
      <c r="B404" s="362"/>
      <c r="C404" s="485"/>
      <c r="D404" s="417"/>
      <c r="E404" s="486"/>
      <c r="F404" s="353"/>
      <c r="I404" s="470"/>
    </row>
    <row r="405" spans="1:9" s="469" customFormat="1" ht="13.5" customHeight="1">
      <c r="A405" s="371" t="s">
        <v>1365</v>
      </c>
      <c r="B405" s="69"/>
      <c r="D405" s="411"/>
      <c r="E405" s="487"/>
      <c r="F405" s="353"/>
      <c r="I405" s="470"/>
    </row>
    <row r="406" spans="1:9" s="469" customFormat="1" ht="13.5" customHeight="1">
      <c r="A406" s="371" t="s">
        <v>369</v>
      </c>
      <c r="B406" s="69"/>
      <c r="D406" s="411"/>
      <c r="E406" s="487"/>
      <c r="F406" s="353"/>
      <c r="I406" s="470"/>
    </row>
    <row r="407" spans="1:9" s="469" customFormat="1" ht="13.5" customHeight="1">
      <c r="A407" s="371" t="s">
        <v>1421</v>
      </c>
      <c r="B407" s="69"/>
      <c r="D407" s="411"/>
      <c r="E407" s="487"/>
      <c r="F407" s="353"/>
      <c r="I407" s="470"/>
    </row>
    <row r="408" spans="1:9" s="469" customFormat="1" ht="13.5" customHeight="1" thickBot="1">
      <c r="A408" s="371" t="s">
        <v>11</v>
      </c>
      <c r="B408" s="69"/>
      <c r="D408" s="411"/>
      <c r="E408" s="487"/>
      <c r="F408" s="353"/>
      <c r="I408" s="470"/>
    </row>
    <row r="409" spans="1:9" s="469" customFormat="1" ht="13.5" customHeight="1" thickBot="1">
      <c r="A409" s="373" t="s">
        <v>496</v>
      </c>
      <c r="B409" s="374"/>
      <c r="C409" s="488"/>
      <c r="D409" s="377"/>
      <c r="E409" s="489">
        <f>SUM(C411)</f>
        <v>3500000</v>
      </c>
      <c r="F409" s="26"/>
      <c r="I409" s="470"/>
    </row>
    <row r="410" spans="1:9" s="183" customFormat="1" ht="13.5" customHeight="1" thickBot="1">
      <c r="A410" s="465"/>
      <c r="B410" s="465"/>
      <c r="C410" s="466"/>
      <c r="D410" s="483"/>
      <c r="E410" s="379"/>
      <c r="F410" s="353"/>
      <c r="I410" s="392"/>
    </row>
    <row r="411" spans="1:9" s="491" customFormat="1" ht="13.5" customHeight="1" thickBot="1">
      <c r="A411" s="967" t="s">
        <v>476</v>
      </c>
      <c r="B411" s="968"/>
      <c r="C411" s="476">
        <f>C412</f>
        <v>3500000</v>
      </c>
      <c r="D411" s="441"/>
      <c r="E411" s="490"/>
      <c r="F411" s="12"/>
      <c r="I411" s="492"/>
    </row>
    <row r="412" spans="1:9" s="478" customFormat="1" ht="13.5" customHeight="1">
      <c r="A412" s="350" t="s">
        <v>497</v>
      </c>
      <c r="B412" s="817" t="s">
        <v>498</v>
      </c>
      <c r="C412" s="490">
        <f>SUM(C413:C415)</f>
        <v>3500000</v>
      </c>
      <c r="D412" s="137"/>
      <c r="E412" s="399"/>
      <c r="F412" s="142"/>
      <c r="I412" s="479"/>
    </row>
    <row r="413" spans="1:9" s="433" customFormat="1" ht="13.5" customHeight="1">
      <c r="A413" s="378" t="s">
        <v>499</v>
      </c>
      <c r="B413" s="69" t="s">
        <v>500</v>
      </c>
      <c r="C413" s="411">
        <v>1400000</v>
      </c>
      <c r="D413" s="379"/>
      <c r="E413" s="396"/>
      <c r="F413" s="353"/>
      <c r="I413" s="434"/>
    </row>
    <row r="414" spans="1:9" s="183" customFormat="1" ht="13.5" customHeight="1">
      <c r="A414" s="378" t="s">
        <v>501</v>
      </c>
      <c r="B414" s="13" t="s">
        <v>502</v>
      </c>
      <c r="C414" s="411">
        <v>1300000</v>
      </c>
      <c r="D414" s="482"/>
      <c r="E414" s="24"/>
      <c r="F414" s="353"/>
      <c r="I414" s="392"/>
    </row>
    <row r="415" spans="1:9" s="433" customFormat="1" ht="13.5" customHeight="1">
      <c r="A415" s="378" t="s">
        <v>503</v>
      </c>
      <c r="B415" s="69" t="s">
        <v>504</v>
      </c>
      <c r="C415" s="411">
        <v>800000</v>
      </c>
      <c r="D415" s="411"/>
      <c r="E415" s="411"/>
      <c r="F415" s="353"/>
      <c r="I415" s="434"/>
    </row>
    <row r="416" spans="1:9" s="433" customFormat="1" ht="13.5" customHeight="1">
      <c r="A416" s="69"/>
      <c r="B416" s="69"/>
      <c r="C416" s="379"/>
      <c r="D416" s="396"/>
      <c r="E416" s="396"/>
      <c r="F416" s="353"/>
      <c r="I416" s="434"/>
    </row>
    <row r="417" spans="1:9" s="469" customFormat="1" ht="13.5" customHeight="1" thickBot="1">
      <c r="A417" s="493"/>
      <c r="B417" s="493"/>
      <c r="C417" s="396"/>
      <c r="D417" s="494"/>
      <c r="E417" s="396"/>
      <c r="F417" s="353"/>
      <c r="I417" s="470"/>
    </row>
    <row r="418" spans="1:9" s="469" customFormat="1" ht="13.5" customHeight="1">
      <c r="A418" s="356" t="s">
        <v>505</v>
      </c>
      <c r="B418" s="357"/>
      <c r="C418" s="412"/>
      <c r="D418" s="413" t="s">
        <v>6</v>
      </c>
      <c r="E418" s="495" t="s">
        <v>1362</v>
      </c>
      <c r="F418" s="353"/>
      <c r="I418" s="470"/>
    </row>
    <row r="419" spans="1:9" s="469" customFormat="1" ht="13.5" customHeight="1" thickBot="1">
      <c r="A419" s="361"/>
      <c r="B419" s="362"/>
      <c r="C419" s="416"/>
      <c r="D419" s="496"/>
      <c r="E419" s="427"/>
      <c r="F419" s="353"/>
      <c r="I419" s="470"/>
    </row>
    <row r="420" spans="1:9" s="469" customFormat="1" ht="13.5" customHeight="1">
      <c r="A420" s="371" t="s">
        <v>1365</v>
      </c>
      <c r="B420" s="69"/>
      <c r="C420" s="411"/>
      <c r="D420" s="383"/>
      <c r="E420" s="428"/>
      <c r="F420" s="353"/>
      <c r="I420" s="470"/>
    </row>
    <row r="421" spans="1:9" s="469" customFormat="1" ht="13.5" customHeight="1">
      <c r="A421" s="371" t="s">
        <v>369</v>
      </c>
      <c r="B421" s="69"/>
      <c r="C421" s="411"/>
      <c r="D421" s="383"/>
      <c r="E421" s="428"/>
      <c r="F421" s="353"/>
      <c r="I421" s="470"/>
    </row>
    <row r="422" spans="1:9" s="469" customFormat="1" ht="13.5" customHeight="1">
      <c r="A422" s="371" t="s">
        <v>1421</v>
      </c>
      <c r="B422" s="69"/>
      <c r="C422" s="411"/>
      <c r="D422" s="383"/>
      <c r="E422" s="428"/>
      <c r="F422" s="353"/>
      <c r="I422" s="470"/>
    </row>
    <row r="423" spans="1:9" s="469" customFormat="1" ht="13.5" customHeight="1" thickBot="1">
      <c r="A423" s="371" t="s">
        <v>11</v>
      </c>
      <c r="B423" s="69"/>
      <c r="C423" s="411"/>
      <c r="D423" s="383"/>
      <c r="E423" s="428"/>
      <c r="F423" s="353"/>
      <c r="I423" s="470"/>
    </row>
    <row r="424" spans="1:9" s="469" customFormat="1" ht="13.5" customHeight="1" thickBot="1">
      <c r="A424" s="54" t="s">
        <v>475</v>
      </c>
      <c r="B424" s="374"/>
      <c r="C424" s="375"/>
      <c r="D424" s="376"/>
      <c r="E424" s="377">
        <f>+C441+C445</f>
        <v>101138936</v>
      </c>
      <c r="F424" s="497"/>
      <c r="I424" s="470"/>
    </row>
    <row r="425" spans="1:9" s="469" customFormat="1" ht="13.5" customHeight="1">
      <c r="A425" s="12"/>
      <c r="B425" s="493"/>
      <c r="C425" s="406"/>
      <c r="D425" s="409"/>
      <c r="E425" s="406"/>
      <c r="F425" s="497"/>
      <c r="I425" s="470"/>
    </row>
    <row r="426" spans="1:9" s="182" customFormat="1" ht="13.5" customHeight="1" hidden="1" thickBot="1">
      <c r="A426" s="971" t="s">
        <v>3</v>
      </c>
      <c r="B426" s="972"/>
      <c r="C426" s="405">
        <f>C427+C430+C435+C437</f>
        <v>0</v>
      </c>
      <c r="D426" s="24"/>
      <c r="E426" s="24"/>
      <c r="F426" s="353"/>
      <c r="I426" s="381"/>
    </row>
    <row r="427" spans="1:9" s="178" customFormat="1" ht="13.5" customHeight="1" hidden="1">
      <c r="A427" s="12" t="s">
        <v>120</v>
      </c>
      <c r="B427" s="817" t="s">
        <v>121</v>
      </c>
      <c r="C427" s="490">
        <f>SUM(C428:C429)</f>
        <v>0</v>
      </c>
      <c r="D427" s="137"/>
      <c r="E427" s="137"/>
      <c r="F427" s="142"/>
      <c r="I427" s="431"/>
    </row>
    <row r="428" spans="1:9" s="107" customFormat="1" ht="13.5" customHeight="1" hidden="1">
      <c r="A428" s="13" t="s">
        <v>393</v>
      </c>
      <c r="B428" s="13" t="s">
        <v>394</v>
      </c>
      <c r="C428" s="809"/>
      <c r="D428" s="116"/>
      <c r="E428" s="26"/>
      <c r="F428" s="142"/>
      <c r="G428" s="25"/>
      <c r="H428" s="13"/>
      <c r="I428" s="388"/>
    </row>
    <row r="429" spans="1:9" s="107" customFormat="1" ht="13.5" customHeight="1" hidden="1">
      <c r="A429" s="13" t="s">
        <v>57</v>
      </c>
      <c r="B429" s="13" t="s">
        <v>18</v>
      </c>
      <c r="C429" s="809"/>
      <c r="D429" s="116"/>
      <c r="E429" s="26"/>
      <c r="F429" s="142"/>
      <c r="G429" s="25"/>
      <c r="H429" s="13"/>
      <c r="I429" s="388"/>
    </row>
    <row r="430" spans="1:9" s="107" customFormat="1" ht="13.5" customHeight="1" hidden="1">
      <c r="A430" s="12" t="s">
        <v>130</v>
      </c>
      <c r="B430" s="12" t="s">
        <v>131</v>
      </c>
      <c r="C430" s="33">
        <f>SUM(C431:C434)</f>
        <v>0</v>
      </c>
      <c r="D430" s="116"/>
      <c r="E430" s="26"/>
      <c r="F430" s="142"/>
      <c r="G430" s="25"/>
      <c r="H430" s="13"/>
      <c r="I430" s="388"/>
    </row>
    <row r="431" spans="1:9" s="107" customFormat="1" ht="13.5" customHeight="1" hidden="1">
      <c r="A431" s="13" t="s">
        <v>327</v>
      </c>
      <c r="B431" s="13" t="s">
        <v>328</v>
      </c>
      <c r="C431" s="818"/>
      <c r="D431" s="116"/>
      <c r="E431" s="26"/>
      <c r="F431" s="142"/>
      <c r="G431" s="25"/>
      <c r="H431" s="13"/>
      <c r="I431" s="388"/>
    </row>
    <row r="432" spans="1:9" s="182" customFormat="1" ht="13.5" customHeight="1" hidden="1">
      <c r="A432" s="13" t="s">
        <v>245</v>
      </c>
      <c r="B432" s="13" t="s">
        <v>244</v>
      </c>
      <c r="C432" s="818"/>
      <c r="D432" s="399"/>
      <c r="E432" s="411"/>
      <c r="F432" s="353"/>
      <c r="I432" s="381"/>
    </row>
    <row r="433" spans="1:9" s="182" customFormat="1" ht="13.5" customHeight="1" hidden="1">
      <c r="A433" s="13" t="s">
        <v>153</v>
      </c>
      <c r="B433" s="13" t="s">
        <v>1163</v>
      </c>
      <c r="C433" s="818"/>
      <c r="D433" s="399"/>
      <c r="E433" s="411"/>
      <c r="F433" s="353"/>
      <c r="I433" s="381"/>
    </row>
    <row r="434" spans="1:9" s="208" customFormat="1" ht="13.5" hidden="1">
      <c r="A434" s="13" t="s">
        <v>148</v>
      </c>
      <c r="B434" s="13" t="s">
        <v>77</v>
      </c>
      <c r="C434" s="809"/>
      <c r="D434" s="33"/>
      <c r="E434" s="172"/>
      <c r="F434" s="25"/>
      <c r="I434" s="407"/>
    </row>
    <row r="435" spans="1:9" s="208" customFormat="1" ht="13.5" hidden="1">
      <c r="A435" s="12" t="s">
        <v>122</v>
      </c>
      <c r="B435" s="12" t="s">
        <v>175</v>
      </c>
      <c r="C435" s="33">
        <f>SUM(C436:C436)</f>
        <v>0</v>
      </c>
      <c r="I435" s="407"/>
    </row>
    <row r="436" spans="1:9" s="208" customFormat="1" ht="13.5" hidden="1">
      <c r="A436" s="13" t="s">
        <v>53</v>
      </c>
      <c r="B436" s="25" t="s">
        <v>97</v>
      </c>
      <c r="C436" s="809"/>
      <c r="F436" s="25"/>
      <c r="I436" s="407"/>
    </row>
    <row r="437" spans="1:9" s="208" customFormat="1" ht="13.5" hidden="1">
      <c r="A437" s="12" t="s">
        <v>125</v>
      </c>
      <c r="B437" s="12" t="s">
        <v>7</v>
      </c>
      <c r="C437" s="33">
        <f>SUM(C438:C439)</f>
        <v>0</v>
      </c>
      <c r="D437" s="26"/>
      <c r="E437" s="46"/>
      <c r="F437" s="25"/>
      <c r="I437" s="407"/>
    </row>
    <row r="438" spans="1:11" s="5" customFormat="1" ht="13.5" hidden="1">
      <c r="A438" s="13" t="s">
        <v>99</v>
      </c>
      <c r="B438" s="25" t="s">
        <v>8</v>
      </c>
      <c r="C438" s="809"/>
      <c r="D438" s="26"/>
      <c r="F438" s="314"/>
      <c r="G438" s="25"/>
      <c r="H438" s="25"/>
      <c r="I438" s="388"/>
      <c r="J438" s="107"/>
      <c r="K438" s="107"/>
    </row>
    <row r="439" spans="1:11" s="107" customFormat="1" ht="13.5" customHeight="1" hidden="1">
      <c r="A439" s="13" t="s">
        <v>100</v>
      </c>
      <c r="B439" s="25" t="s">
        <v>7</v>
      </c>
      <c r="C439" s="809"/>
      <c r="D439" s="25"/>
      <c r="E439" s="172"/>
      <c r="F439" s="25"/>
      <c r="G439" s="5"/>
      <c r="H439" s="5"/>
      <c r="I439" s="403"/>
      <c r="J439" s="5"/>
      <c r="K439" s="5"/>
    </row>
    <row r="440" spans="1:9" s="469" customFormat="1" ht="13.5" customHeight="1" thickBot="1">
      <c r="A440" s="473"/>
      <c r="B440" s="473"/>
      <c r="C440" s="474"/>
      <c r="D440" s="475"/>
      <c r="E440" s="406"/>
      <c r="F440" s="353"/>
      <c r="I440" s="470"/>
    </row>
    <row r="441" spans="1:9" s="469" customFormat="1" ht="13.5" customHeight="1" thickBot="1">
      <c r="A441" s="953" t="s">
        <v>5</v>
      </c>
      <c r="B441" s="954"/>
      <c r="C441" s="37">
        <f>C442</f>
        <v>1768422</v>
      </c>
      <c r="D441" s="441"/>
      <c r="E441" s="406"/>
      <c r="F441" s="497"/>
      <c r="I441" s="470"/>
    </row>
    <row r="442" spans="1:9" s="179" customFormat="1" ht="13.5" customHeight="1">
      <c r="A442" s="12" t="s">
        <v>139</v>
      </c>
      <c r="B442" s="12" t="s">
        <v>140</v>
      </c>
      <c r="C442" s="34">
        <f>SUM(C443)</f>
        <v>1768422</v>
      </c>
      <c r="D442" s="399"/>
      <c r="E442" s="399"/>
      <c r="F442" s="498"/>
      <c r="I442" s="499"/>
    </row>
    <row r="443" spans="1:9" s="469" customFormat="1" ht="13.5" customHeight="1">
      <c r="A443" s="13" t="s">
        <v>506</v>
      </c>
      <c r="B443" s="13" t="s">
        <v>507</v>
      </c>
      <c r="C443" s="25">
        <f>'Ingresos-2016'!K69</f>
        <v>1768422</v>
      </c>
      <c r="E443" s="406"/>
      <c r="F443" s="12"/>
      <c r="G443" s="436"/>
      <c r="I443" s="470"/>
    </row>
    <row r="444" spans="1:9" s="469" customFormat="1" ht="13.5" customHeight="1" thickBot="1">
      <c r="A444" s="465"/>
      <c r="B444" s="465"/>
      <c r="C444" s="466"/>
      <c r="D444" s="467"/>
      <c r="E444" s="466"/>
      <c r="F444" s="353"/>
      <c r="I444" s="470"/>
    </row>
    <row r="445" spans="1:9" s="469" customFormat="1" ht="13.5" customHeight="1" thickBot="1">
      <c r="A445" s="967" t="s">
        <v>476</v>
      </c>
      <c r="B445" s="968"/>
      <c r="C445" s="476">
        <f>C446+C450</f>
        <v>99370514</v>
      </c>
      <c r="D445" s="441"/>
      <c r="E445" s="500"/>
      <c r="F445" s="12"/>
      <c r="I445" s="470"/>
    </row>
    <row r="446" spans="1:9" s="179" customFormat="1" ht="13.5" customHeight="1">
      <c r="A446" s="493" t="s">
        <v>477</v>
      </c>
      <c r="B446" s="817" t="s">
        <v>508</v>
      </c>
      <c r="C446" s="490">
        <f>SUM(C447:C449)</f>
        <v>10762740</v>
      </c>
      <c r="D446" s="477"/>
      <c r="E446" s="501"/>
      <c r="F446" s="404"/>
      <c r="G446" s="852"/>
      <c r="I446" s="499"/>
    </row>
    <row r="447" spans="1:13" s="469" customFormat="1" ht="13.5" customHeight="1">
      <c r="A447" s="69" t="s">
        <v>509</v>
      </c>
      <c r="B447" s="69" t="s">
        <v>510</v>
      </c>
      <c r="C447" s="481">
        <v>1</v>
      </c>
      <c r="E447" s="502"/>
      <c r="G447" s="503"/>
      <c r="H447" s="504"/>
      <c r="I447" s="505"/>
      <c r="J447" s="504"/>
      <c r="K447" s="504"/>
      <c r="L447" s="504"/>
      <c r="M447" s="504"/>
    </row>
    <row r="448" spans="1:13" s="469" customFormat="1" ht="13.5" customHeight="1">
      <c r="A448" s="69" t="s">
        <v>511</v>
      </c>
      <c r="B448" s="69" t="s">
        <v>1359</v>
      </c>
      <c r="C448" s="481">
        <v>10762738</v>
      </c>
      <c r="G448" s="502"/>
      <c r="H448" s="504"/>
      <c r="I448" s="505"/>
      <c r="J448" s="504"/>
      <c r="K448" s="504"/>
      <c r="L448" s="504"/>
      <c r="M448" s="504"/>
    </row>
    <row r="449" spans="1:13" s="469" customFormat="1" ht="13.5" customHeight="1">
      <c r="A449" s="69" t="s">
        <v>512</v>
      </c>
      <c r="B449" s="69" t="s">
        <v>1364</v>
      </c>
      <c r="C449" s="481">
        <v>1</v>
      </c>
      <c r="G449" s="503"/>
      <c r="H449" s="504"/>
      <c r="I449" s="506"/>
      <c r="J449" s="504"/>
      <c r="K449" s="504"/>
      <c r="L449" s="504"/>
      <c r="M449" s="504"/>
    </row>
    <row r="450" spans="1:9" s="504" customFormat="1" ht="13.5" customHeight="1">
      <c r="A450" s="493" t="s">
        <v>497</v>
      </c>
      <c r="B450" s="817" t="s">
        <v>498</v>
      </c>
      <c r="C450" s="490">
        <f>SUM(C451:C468)</f>
        <v>88607774</v>
      </c>
      <c r="E450" s="502"/>
      <c r="G450" s="503"/>
      <c r="I450" s="506"/>
    </row>
    <row r="451" spans="1:9" s="469" customFormat="1" ht="13.5" customHeight="1">
      <c r="A451" s="69" t="s">
        <v>513</v>
      </c>
      <c r="B451" s="13" t="s">
        <v>514</v>
      </c>
      <c r="C451" s="411">
        <v>700000</v>
      </c>
      <c r="E451" s="502"/>
      <c r="G451" s="507"/>
      <c r="I451" s="470"/>
    </row>
    <row r="452" spans="1:9" s="469" customFormat="1" ht="13.5" customHeight="1">
      <c r="A452" s="69" t="s">
        <v>515</v>
      </c>
      <c r="B452" s="13" t="s">
        <v>516</v>
      </c>
      <c r="C452" s="411">
        <f>7300000</f>
        <v>7300000</v>
      </c>
      <c r="I452" s="470"/>
    </row>
    <row r="453" spans="1:9" s="469" customFormat="1" ht="13.5" customHeight="1">
      <c r="A453" s="69" t="s">
        <v>517</v>
      </c>
      <c r="B453" s="13" t="s">
        <v>518</v>
      </c>
      <c r="C453" s="411">
        <v>8775000</v>
      </c>
      <c r="I453" s="470"/>
    </row>
    <row r="454" spans="1:9" s="469" customFormat="1" ht="13.5" customHeight="1">
      <c r="A454" s="69" t="s">
        <v>519</v>
      </c>
      <c r="B454" s="69" t="s">
        <v>520</v>
      </c>
      <c r="C454" s="481">
        <v>8509173</v>
      </c>
      <c r="F454" s="503"/>
      <c r="I454" s="470"/>
    </row>
    <row r="455" spans="1:9" s="469" customFormat="1" ht="13.5" customHeight="1">
      <c r="A455" s="69" t="s">
        <v>521</v>
      </c>
      <c r="B455" s="69" t="s">
        <v>522</v>
      </c>
      <c r="C455" s="481">
        <v>16000000</v>
      </c>
      <c r="F455" s="503"/>
      <c r="G455" s="502"/>
      <c r="I455" s="470"/>
    </row>
    <row r="456" spans="1:9" s="469" customFormat="1" ht="13.5" customHeight="1">
      <c r="A456" s="69" t="s">
        <v>523</v>
      </c>
      <c r="B456" s="13" t="s">
        <v>524</v>
      </c>
      <c r="C456" s="411">
        <v>12000000</v>
      </c>
      <c r="I456" s="470"/>
    </row>
    <row r="457" spans="1:13" s="469" customFormat="1" ht="13.5" customHeight="1">
      <c r="A457" s="69" t="s">
        <v>525</v>
      </c>
      <c r="B457" s="69" t="s">
        <v>526</v>
      </c>
      <c r="C457" s="481">
        <v>500000</v>
      </c>
      <c r="F457" s="502"/>
      <c r="H457" s="504"/>
      <c r="I457" s="506"/>
      <c r="J457" s="504"/>
      <c r="K457" s="504"/>
      <c r="L457" s="504"/>
      <c r="M457" s="504"/>
    </row>
    <row r="458" spans="1:9" s="469" customFormat="1" ht="13.5" customHeight="1">
      <c r="A458" s="69" t="s">
        <v>527</v>
      </c>
      <c r="B458" s="57" t="s">
        <v>1428</v>
      </c>
      <c r="C458" s="481">
        <v>500000</v>
      </c>
      <c r="I458" s="470"/>
    </row>
    <row r="459" spans="1:13" s="469" customFormat="1" ht="13.5" customHeight="1" hidden="1">
      <c r="A459" s="69" t="s">
        <v>528</v>
      </c>
      <c r="B459" s="69" t="s">
        <v>529</v>
      </c>
      <c r="C459" s="481"/>
      <c r="F459" s="503"/>
      <c r="H459" s="504"/>
      <c r="I459" s="506"/>
      <c r="J459" s="504"/>
      <c r="K459" s="504"/>
      <c r="L459" s="504"/>
      <c r="M459" s="504"/>
    </row>
    <row r="460" spans="1:13" s="469" customFormat="1" ht="13.5" customHeight="1">
      <c r="A460" s="69" t="s">
        <v>530</v>
      </c>
      <c r="B460" s="69" t="s">
        <v>1363</v>
      </c>
      <c r="C460" s="481">
        <v>500000</v>
      </c>
      <c r="F460" s="503"/>
      <c r="H460" s="504"/>
      <c r="I460" s="506"/>
      <c r="J460" s="504"/>
      <c r="K460" s="504"/>
      <c r="L460" s="504"/>
      <c r="M460" s="504"/>
    </row>
    <row r="461" spans="1:13" s="469" customFormat="1" ht="13.5" customHeight="1">
      <c r="A461" s="69" t="s">
        <v>531</v>
      </c>
      <c r="B461" s="69" t="s">
        <v>532</v>
      </c>
      <c r="C461" s="481">
        <v>7623600</v>
      </c>
      <c r="F461" s="502"/>
      <c r="H461" s="504"/>
      <c r="I461" s="506"/>
      <c r="J461" s="504"/>
      <c r="K461" s="504"/>
      <c r="L461" s="504"/>
      <c r="M461" s="504"/>
    </row>
    <row r="462" spans="1:13" s="469" customFormat="1" ht="13.5" customHeight="1">
      <c r="A462" s="69" t="s">
        <v>1427</v>
      </c>
      <c r="B462" s="69" t="s">
        <v>1426</v>
      </c>
      <c r="C462" s="481">
        <v>18200000</v>
      </c>
      <c r="F462" s="502"/>
      <c r="H462" s="504"/>
      <c r="I462" s="506"/>
      <c r="J462" s="504"/>
      <c r="K462" s="504"/>
      <c r="L462" s="504"/>
      <c r="M462" s="504"/>
    </row>
    <row r="463" spans="1:13" s="469" customFormat="1" ht="13.5" customHeight="1">
      <c r="A463" s="69" t="s">
        <v>533</v>
      </c>
      <c r="B463" s="57" t="s">
        <v>1429</v>
      </c>
      <c r="C463" s="481">
        <v>4500000</v>
      </c>
      <c r="F463" s="502"/>
      <c r="H463" s="504"/>
      <c r="I463" s="506"/>
      <c r="J463" s="504"/>
      <c r="K463" s="504"/>
      <c r="L463" s="504"/>
      <c r="M463" s="504"/>
    </row>
    <row r="464" spans="1:13" s="469" customFormat="1" ht="13.5" customHeight="1" hidden="1">
      <c r="A464" s="69" t="s">
        <v>534</v>
      </c>
      <c r="B464" s="69" t="s">
        <v>535</v>
      </c>
      <c r="C464" s="481"/>
      <c r="F464" s="502"/>
      <c r="H464" s="504"/>
      <c r="I464" s="506"/>
      <c r="J464" s="504"/>
      <c r="K464" s="504"/>
      <c r="L464" s="504"/>
      <c r="M464" s="504"/>
    </row>
    <row r="465" spans="1:13" s="469" customFormat="1" ht="13.5" customHeight="1">
      <c r="A465" s="69" t="s">
        <v>536</v>
      </c>
      <c r="B465" s="69" t="s">
        <v>537</v>
      </c>
      <c r="C465" s="481">
        <v>1</v>
      </c>
      <c r="F465" s="503"/>
      <c r="H465" s="504"/>
      <c r="I465" s="506"/>
      <c r="J465" s="504"/>
      <c r="K465" s="504"/>
      <c r="L465" s="504"/>
      <c r="M465" s="504"/>
    </row>
    <row r="466" spans="1:13" s="469" customFormat="1" ht="13.5" customHeight="1">
      <c r="A466" s="69" t="s">
        <v>538</v>
      </c>
      <c r="B466" s="69" t="s">
        <v>490</v>
      </c>
      <c r="C466" s="481">
        <v>500000</v>
      </c>
      <c r="D466" s="13"/>
      <c r="F466" s="503"/>
      <c r="H466" s="504"/>
      <c r="I466" s="506"/>
      <c r="J466" s="504"/>
      <c r="K466" s="504"/>
      <c r="L466" s="504"/>
      <c r="M466" s="504"/>
    </row>
    <row r="467" spans="1:13" s="469" customFormat="1" ht="13.5" customHeight="1">
      <c r="A467" s="69" t="s">
        <v>1164</v>
      </c>
      <c r="B467" s="69" t="s">
        <v>539</v>
      </c>
      <c r="C467" s="481">
        <v>1500000</v>
      </c>
      <c r="F467" s="503"/>
      <c r="G467" s="503"/>
      <c r="H467" s="504"/>
      <c r="I467" s="506"/>
      <c r="J467" s="504"/>
      <c r="K467" s="504"/>
      <c r="L467" s="504"/>
      <c r="M467" s="504"/>
    </row>
    <row r="468" spans="1:13" s="469" customFormat="1" ht="13.5" customHeight="1">
      <c r="A468" s="69" t="s">
        <v>1369</v>
      </c>
      <c r="B468" s="13" t="s">
        <v>1356</v>
      </c>
      <c r="C468" s="481">
        <v>1500000</v>
      </c>
      <c r="F468" s="503"/>
      <c r="G468" s="503"/>
      <c r="H468" s="504"/>
      <c r="I468" s="506"/>
      <c r="J468" s="504"/>
      <c r="K468" s="504"/>
      <c r="L468" s="504"/>
      <c r="M468" s="504"/>
    </row>
    <row r="469" spans="1:9" s="504" customFormat="1" ht="13.5" customHeight="1">
      <c r="A469" s="69"/>
      <c r="B469" s="493"/>
      <c r="C469" s="481"/>
      <c r="D469" s="503"/>
      <c r="E469" s="503"/>
      <c r="F469" s="503"/>
      <c r="I469" s="506"/>
    </row>
    <row r="470" spans="1:9" s="200" customFormat="1" ht="13.5" customHeight="1">
      <c r="A470" s="508"/>
      <c r="B470" s="473"/>
      <c r="C470" s="481"/>
      <c r="D470" s="509"/>
      <c r="E470" s="481"/>
      <c r="F470" s="510"/>
      <c r="I470" s="511"/>
    </row>
  </sheetData>
  <sheetProtection/>
  <mergeCells count="22">
    <mergeCell ref="A13:B13"/>
    <mergeCell ref="A36:B36"/>
    <mergeCell ref="A55:B55"/>
    <mergeCell ref="A75:B75"/>
    <mergeCell ref="A102:B102"/>
    <mergeCell ref="A132:B132"/>
    <mergeCell ref="A157:B157"/>
    <mergeCell ref="A185:B185"/>
    <mergeCell ref="A198:B198"/>
    <mergeCell ref="A212:B212"/>
    <mergeCell ref="A343:B343"/>
    <mergeCell ref="A258:B258"/>
    <mergeCell ref="A445:B445"/>
    <mergeCell ref="A290:B290"/>
    <mergeCell ref="A318:B318"/>
    <mergeCell ref="A323:B323"/>
    <mergeCell ref="A391:B391"/>
    <mergeCell ref="A411:B411"/>
    <mergeCell ref="A441:B441"/>
    <mergeCell ref="A364:B364"/>
    <mergeCell ref="A376:B376"/>
    <mergeCell ref="A426:B426"/>
  </mergeCells>
  <printOptions/>
  <pageMargins left="0.7874015748031497" right="0.1968503937007874" top="0.7874015748031497" bottom="0.7874015748031497" header="0.3937007874015748" footer="0.1968503937007874"/>
  <pageSetup horizontalDpi="720" verticalDpi="72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Narrow,Normal"&amp;8Secretaría de Ambiente y Desarrollo Urbano
Página &amp;P de &amp;N</oddFooter>
  </headerFooter>
  <rowBreaks count="6" manualBreakCount="6">
    <brk id="83" max="255" man="1"/>
    <brk id="170" max="255" man="1"/>
    <brk id="219" max="255" man="1"/>
    <brk id="289" max="255" man="1"/>
    <brk id="349" max="255" man="1"/>
    <brk id="4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1"/>
  <sheetViews>
    <sheetView workbookViewId="0" topLeftCell="A389">
      <selection activeCell="G403" sqref="G403"/>
    </sheetView>
  </sheetViews>
  <sheetFormatPr defaultColWidth="11.421875" defaultRowHeight="12.75"/>
  <cols>
    <col min="1" max="1" width="9.7109375" style="3" customWidth="1"/>
    <col min="2" max="2" width="46.7109375" style="3" customWidth="1"/>
    <col min="3" max="3" width="12.7109375" style="19" customWidth="1"/>
    <col min="4" max="4" width="10.7109375" style="19" customWidth="1"/>
    <col min="5" max="5" width="13.7109375" style="19" customWidth="1"/>
    <col min="6" max="6" width="13.8515625" style="3" customWidth="1"/>
    <col min="7" max="7" width="17.7109375" style="3" customWidth="1"/>
    <col min="8" max="16384" width="11.421875" style="3" customWidth="1"/>
  </cols>
  <sheetData>
    <row r="1" spans="1:7" ht="12.75">
      <c r="A1" s="110" t="s">
        <v>540</v>
      </c>
      <c r="G1" s="515"/>
    </row>
    <row r="2" spans="1:7" ht="12.75">
      <c r="A2" s="110"/>
      <c r="G2" s="515"/>
    </row>
    <row r="3" ht="13.5" thickBot="1">
      <c r="G3" s="515"/>
    </row>
    <row r="4" spans="1:7" ht="12.75">
      <c r="A4" s="64" t="s">
        <v>1156</v>
      </c>
      <c r="B4" s="221"/>
      <c r="C4" s="65"/>
      <c r="D4" s="67" t="s">
        <v>6</v>
      </c>
      <c r="E4" s="516" t="s">
        <v>541</v>
      </c>
      <c r="G4" s="515"/>
    </row>
    <row r="5" spans="1:7" ht="13.5" thickBot="1">
      <c r="A5" s="49" t="s">
        <v>542</v>
      </c>
      <c r="B5" s="205" t="s">
        <v>543</v>
      </c>
      <c r="C5" s="119"/>
      <c r="D5" s="121"/>
      <c r="E5" s="517"/>
      <c r="G5" s="515"/>
    </row>
    <row r="6" spans="1:7" ht="12.75">
      <c r="A6" s="45" t="s">
        <v>544</v>
      </c>
      <c r="B6" s="208"/>
      <c r="C6" s="172"/>
      <c r="D6" s="172"/>
      <c r="E6" s="450"/>
      <c r="G6" s="515"/>
    </row>
    <row r="7" spans="1:7" ht="12.75">
      <c r="A7" s="45" t="s">
        <v>545</v>
      </c>
      <c r="B7" s="208"/>
      <c r="C7" s="172"/>
      <c r="D7" s="172"/>
      <c r="E7" s="450"/>
      <c r="G7" s="515"/>
    </row>
    <row r="8" spans="1:7" ht="12.75">
      <c r="A8" s="518" t="s">
        <v>546</v>
      </c>
      <c r="B8" s="208"/>
      <c r="C8" s="172"/>
      <c r="D8" s="172"/>
      <c r="E8" s="450"/>
      <c r="G8" s="515"/>
    </row>
    <row r="9" spans="1:7" s="11" customFormat="1" ht="13.5">
      <c r="A9" s="518" t="s">
        <v>547</v>
      </c>
      <c r="B9" s="208"/>
      <c r="C9" s="172"/>
      <c r="D9" s="172"/>
      <c r="E9" s="450"/>
      <c r="F9" s="3"/>
      <c r="G9" s="515"/>
    </row>
    <row r="10" spans="1:7" s="11" customFormat="1" ht="13.5">
      <c r="A10" s="518" t="s">
        <v>548</v>
      </c>
      <c r="B10" s="208"/>
      <c r="C10" s="172"/>
      <c r="D10" s="172"/>
      <c r="E10" s="450"/>
      <c r="F10" s="3"/>
      <c r="G10" s="515"/>
    </row>
    <row r="11" spans="1:7" s="11" customFormat="1" ht="14.25" thickBot="1">
      <c r="A11" s="519" t="s">
        <v>549</v>
      </c>
      <c r="B11" s="205"/>
      <c r="C11" s="119"/>
      <c r="D11" s="119"/>
      <c r="E11" s="452"/>
      <c r="F11" s="3"/>
      <c r="G11" s="515"/>
    </row>
    <row r="12" spans="1:7" s="11" customFormat="1" ht="13.5">
      <c r="A12" s="52" t="s">
        <v>1365</v>
      </c>
      <c r="B12" s="13"/>
      <c r="C12" s="25"/>
      <c r="D12" s="25"/>
      <c r="E12" s="453"/>
      <c r="G12" s="520"/>
    </row>
    <row r="13" spans="1:7" s="11" customFormat="1" ht="13.5">
      <c r="A13" s="52" t="s">
        <v>550</v>
      </c>
      <c r="B13" s="13"/>
      <c r="C13" s="25"/>
      <c r="D13" s="25"/>
      <c r="E13" s="453"/>
      <c r="G13" s="520"/>
    </row>
    <row r="14" spans="1:7" s="270" customFormat="1" ht="13.5">
      <c r="A14" s="52" t="s">
        <v>1421</v>
      </c>
      <c r="B14" s="13"/>
      <c r="C14" s="25"/>
      <c r="D14" s="25"/>
      <c r="E14" s="453"/>
      <c r="F14" s="11"/>
      <c r="G14" s="520"/>
    </row>
    <row r="15" spans="1:7" s="270" customFormat="1" ht="14.25" thickBot="1">
      <c r="A15" s="52" t="s">
        <v>16</v>
      </c>
      <c r="B15" s="13"/>
      <c r="C15" s="25"/>
      <c r="D15" s="25"/>
      <c r="E15" s="453"/>
      <c r="F15" s="11"/>
      <c r="G15" s="520"/>
    </row>
    <row r="16" spans="1:7" s="107" customFormat="1" ht="12.75" customHeight="1" thickBot="1">
      <c r="A16" s="54" t="s">
        <v>17</v>
      </c>
      <c r="B16" s="192"/>
      <c r="C16" s="55"/>
      <c r="D16" s="191"/>
      <c r="E16" s="161">
        <f>C18+C41+C58+C82+C86</f>
        <v>33428050</v>
      </c>
      <c r="F16" s="11"/>
      <c r="G16" s="521"/>
    </row>
    <row r="17" spans="1:7" s="107" customFormat="1" ht="12.75" customHeight="1" thickBot="1">
      <c r="A17" s="12"/>
      <c r="B17" s="12"/>
      <c r="C17" s="33"/>
      <c r="D17" s="33"/>
      <c r="F17" s="522"/>
      <c r="G17" s="523"/>
    </row>
    <row r="18" spans="1:7" s="184" customFormat="1" ht="12.75" customHeight="1" thickBot="1">
      <c r="A18" s="945" t="s">
        <v>1</v>
      </c>
      <c r="B18" s="946"/>
      <c r="C18" s="40">
        <f>C19+C26+C33</f>
        <v>26769950</v>
      </c>
      <c r="D18" s="33"/>
      <c r="F18" s="522"/>
      <c r="G18" s="523"/>
    </row>
    <row r="19" spans="1:11" s="200" customFormat="1" ht="13.5">
      <c r="A19" s="12" t="s">
        <v>107</v>
      </c>
      <c r="B19" s="404" t="s">
        <v>108</v>
      </c>
      <c r="C19" s="33">
        <f>SUM(C20:C25)</f>
        <v>8117937</v>
      </c>
      <c r="D19" s="33"/>
      <c r="F19" s="524"/>
      <c r="G19" s="201"/>
      <c r="H19" s="201"/>
      <c r="I19" s="201"/>
      <c r="J19" s="201"/>
      <c r="K19" s="201"/>
    </row>
    <row r="20" spans="1:6" s="107" customFormat="1" ht="12.75" customHeight="1" hidden="1">
      <c r="A20" s="13" t="s">
        <v>27</v>
      </c>
      <c r="B20" s="25" t="s">
        <v>24</v>
      </c>
      <c r="C20" s="821">
        <v>6250946</v>
      </c>
      <c r="D20" s="23"/>
      <c r="E20" s="33"/>
      <c r="F20" s="321"/>
    </row>
    <row r="21" spans="1:6" s="184" customFormat="1" ht="12.75" customHeight="1" hidden="1">
      <c r="A21" s="13" t="s">
        <v>28</v>
      </c>
      <c r="B21" s="25" t="s">
        <v>26</v>
      </c>
      <c r="C21" s="821">
        <f>1233919+277632</f>
        <v>1511551</v>
      </c>
      <c r="D21" s="23"/>
      <c r="E21" s="33"/>
      <c r="F21" s="321"/>
    </row>
    <row r="22" spans="1:6" s="184" customFormat="1" ht="12.75" customHeight="1" hidden="1">
      <c r="A22" s="13" t="s">
        <v>29</v>
      </c>
      <c r="B22" s="25" t="s">
        <v>86</v>
      </c>
      <c r="C22" s="821">
        <f>25000+246034+9076</f>
        <v>280110</v>
      </c>
      <c r="D22" s="23"/>
      <c r="E22" s="33"/>
      <c r="F22" s="321"/>
    </row>
    <row r="23" spans="1:6" s="184" customFormat="1" ht="12.75" customHeight="1" hidden="1">
      <c r="A23" s="13" t="s">
        <v>30</v>
      </c>
      <c r="B23" s="25" t="s">
        <v>87</v>
      </c>
      <c r="C23" s="821">
        <v>1</v>
      </c>
      <c r="D23" s="23"/>
      <c r="E23" s="26"/>
      <c r="F23" s="154"/>
    </row>
    <row r="24" spans="1:6" s="107" customFormat="1" ht="12.75" customHeight="1" hidden="1">
      <c r="A24" s="13" t="s">
        <v>31</v>
      </c>
      <c r="B24" s="25" t="s">
        <v>25</v>
      </c>
      <c r="C24" s="821">
        <f>9800+65528</f>
        <v>75328</v>
      </c>
      <c r="D24" s="23"/>
      <c r="E24" s="26"/>
      <c r="F24" s="154"/>
    </row>
    <row r="25" spans="1:6" s="184" customFormat="1" ht="12.75" customHeight="1" hidden="1">
      <c r="A25" s="13" t="s">
        <v>32</v>
      </c>
      <c r="B25" s="25" t="s">
        <v>23</v>
      </c>
      <c r="C25" s="821">
        <v>1</v>
      </c>
      <c r="D25" s="23"/>
      <c r="E25" s="26"/>
      <c r="F25" s="22"/>
    </row>
    <row r="26" spans="1:6" s="184" customFormat="1" ht="12.75" customHeight="1">
      <c r="A26" s="12" t="s">
        <v>109</v>
      </c>
      <c r="B26" s="33" t="s">
        <v>110</v>
      </c>
      <c r="C26" s="33">
        <f>SUM(C27:C32)</f>
        <v>12543148</v>
      </c>
      <c r="D26" s="23"/>
      <c r="E26" s="26"/>
      <c r="F26" s="22"/>
    </row>
    <row r="27" spans="1:8" s="107" customFormat="1" ht="12.75" customHeight="1" hidden="1">
      <c r="A27" s="13" t="s">
        <v>34</v>
      </c>
      <c r="B27" s="25" t="s">
        <v>88</v>
      </c>
      <c r="C27" s="821">
        <v>9734705</v>
      </c>
      <c r="D27" s="23"/>
      <c r="E27" s="26"/>
      <c r="F27" s="172"/>
      <c r="G27" s="13"/>
      <c r="H27" s="13"/>
    </row>
    <row r="28" spans="1:6" s="184" customFormat="1" ht="12.75" customHeight="1" hidden="1">
      <c r="A28" s="13" t="s">
        <v>35</v>
      </c>
      <c r="B28" s="25" t="s">
        <v>89</v>
      </c>
      <c r="C28" s="821">
        <f>1964338+441976</f>
        <v>2406314</v>
      </c>
      <c r="D28" s="23"/>
      <c r="E28" s="26"/>
      <c r="F28" s="154"/>
    </row>
    <row r="29" spans="1:6" s="184" customFormat="1" ht="12.75" customHeight="1" hidden="1">
      <c r="A29" s="13" t="s">
        <v>36</v>
      </c>
      <c r="B29" s="25" t="s">
        <v>90</v>
      </c>
      <c r="C29" s="821">
        <f>394425+7701</f>
        <v>402126</v>
      </c>
      <c r="D29" s="23"/>
      <c r="E29" s="26"/>
      <c r="F29" s="154"/>
    </row>
    <row r="30" spans="1:6" s="184" customFormat="1" ht="12.75" customHeight="1" hidden="1">
      <c r="A30" s="13" t="s">
        <v>37</v>
      </c>
      <c r="B30" s="25" t="s">
        <v>91</v>
      </c>
      <c r="C30" s="821">
        <v>1</v>
      </c>
      <c r="D30" s="23"/>
      <c r="E30" s="26"/>
      <c r="F30" s="154"/>
    </row>
    <row r="31" spans="1:6" s="107" customFormat="1" ht="12.75" customHeight="1" hidden="1">
      <c r="A31" s="13" t="s">
        <v>38</v>
      </c>
      <c r="B31" s="25" t="s">
        <v>370</v>
      </c>
      <c r="C31" s="821">
        <v>1</v>
      </c>
      <c r="D31" s="23"/>
      <c r="E31" s="26"/>
      <c r="F31" s="154"/>
    </row>
    <row r="32" spans="1:6" s="184" customFormat="1" ht="12.75" customHeight="1" hidden="1">
      <c r="A32" s="13" t="s">
        <v>93</v>
      </c>
      <c r="B32" s="25" t="s">
        <v>92</v>
      </c>
      <c r="C32" s="821">
        <v>1</v>
      </c>
      <c r="D32" s="23"/>
      <c r="E32" s="26"/>
      <c r="F32" s="22"/>
    </row>
    <row r="33" spans="1:6" s="184" customFormat="1" ht="12.75" customHeight="1">
      <c r="A33" s="12" t="s">
        <v>111</v>
      </c>
      <c r="B33" s="33" t="s">
        <v>112</v>
      </c>
      <c r="C33" s="33">
        <f>SUM(C34:C39)</f>
        <v>6108865</v>
      </c>
      <c r="D33" s="23"/>
      <c r="E33" s="26"/>
      <c r="F33" s="22"/>
    </row>
    <row r="34" spans="1:7" s="107" customFormat="1" ht="12.75" customHeight="1" hidden="1">
      <c r="A34" s="13" t="s">
        <v>43</v>
      </c>
      <c r="B34" s="25" t="s">
        <v>39</v>
      </c>
      <c r="C34" s="821">
        <v>4729069</v>
      </c>
      <c r="D34" s="23"/>
      <c r="E34" s="26"/>
      <c r="F34" s="525"/>
      <c r="G34" s="525"/>
    </row>
    <row r="35" spans="1:7" s="184" customFormat="1" ht="12.75" customHeight="1" hidden="1">
      <c r="A35" s="13" t="s">
        <v>44</v>
      </c>
      <c r="B35" s="25" t="s">
        <v>41</v>
      </c>
      <c r="C35" s="821">
        <f>930993+209473</f>
        <v>1140466</v>
      </c>
      <c r="D35" s="23"/>
      <c r="E35" s="26"/>
      <c r="G35" s="525"/>
    </row>
    <row r="36" spans="1:7" s="184" customFormat="1" ht="12.75" customHeight="1" hidden="1">
      <c r="A36" s="13" t="s">
        <v>45</v>
      </c>
      <c r="B36" s="25" t="s">
        <v>94</v>
      </c>
      <c r="C36" s="821">
        <f>197107+5501</f>
        <v>202608</v>
      </c>
      <c r="D36" s="23"/>
      <c r="E36" s="26"/>
      <c r="F36" s="314"/>
      <c r="G36" s="314"/>
    </row>
    <row r="37" spans="1:7" s="184" customFormat="1" ht="12.75" customHeight="1" hidden="1">
      <c r="A37" s="13" t="s">
        <v>46</v>
      </c>
      <c r="B37" s="25" t="s">
        <v>95</v>
      </c>
      <c r="C37" s="821">
        <v>1</v>
      </c>
      <c r="D37" s="23"/>
      <c r="E37" s="26"/>
      <c r="F37" s="314"/>
      <c r="G37" s="314"/>
    </row>
    <row r="38" spans="1:7" s="184" customFormat="1" ht="12.75" customHeight="1" hidden="1">
      <c r="A38" s="13" t="s">
        <v>47</v>
      </c>
      <c r="B38" s="25" t="s">
        <v>40</v>
      </c>
      <c r="C38" s="821">
        <f>2100+34620</f>
        <v>36720</v>
      </c>
      <c r="D38" s="23"/>
      <c r="E38" s="26"/>
      <c r="F38" s="525"/>
      <c r="G38" s="525"/>
    </row>
    <row r="39" spans="1:7" s="184" customFormat="1" ht="12.75" customHeight="1" hidden="1">
      <c r="A39" s="13" t="s">
        <v>48</v>
      </c>
      <c r="B39" s="25" t="s">
        <v>42</v>
      </c>
      <c r="C39" s="821">
        <v>1</v>
      </c>
      <c r="D39" s="23"/>
      <c r="E39" s="26"/>
      <c r="F39" s="525"/>
      <c r="G39" s="525"/>
    </row>
    <row r="40" spans="2:7" s="13" customFormat="1" ht="13.5" customHeight="1" thickBot="1">
      <c r="B40" s="25"/>
      <c r="C40" s="25"/>
      <c r="D40" s="23"/>
      <c r="E40" s="26"/>
      <c r="F40" s="184"/>
      <c r="G40" s="525"/>
    </row>
    <row r="41" spans="1:7" s="13" customFormat="1" ht="13.5" customHeight="1" thickBot="1">
      <c r="A41" s="947" t="s">
        <v>2</v>
      </c>
      <c r="B41" s="948"/>
      <c r="C41" s="38">
        <f>C42+C44+C47+C49+C51+C53</f>
        <v>88500</v>
      </c>
      <c r="D41" s="19"/>
      <c r="E41" s="19"/>
      <c r="F41" s="3"/>
      <c r="G41" s="515"/>
    </row>
    <row r="42" spans="1:7" s="142" customFormat="1" ht="13.5" customHeight="1">
      <c r="A42" s="12" t="s">
        <v>113</v>
      </c>
      <c r="B42" s="404" t="s">
        <v>114</v>
      </c>
      <c r="C42" s="34">
        <f>SUM(C43)</f>
        <v>19350</v>
      </c>
      <c r="D42" s="526"/>
      <c r="E42" s="526"/>
      <c r="F42" s="527"/>
      <c r="G42" s="527"/>
    </row>
    <row r="43" spans="1:8" s="107" customFormat="1" ht="13.5" customHeight="1" hidden="1">
      <c r="A43" s="13" t="s">
        <v>50</v>
      </c>
      <c r="B43" s="107" t="s">
        <v>49</v>
      </c>
      <c r="C43" s="821">
        <f>28350-9000</f>
        <v>19350</v>
      </c>
      <c r="D43" s="137"/>
      <c r="E43" s="33"/>
      <c r="F43" s="13"/>
      <c r="G43" s="137"/>
      <c r="H43" s="13"/>
    </row>
    <row r="44" spans="1:8" s="107" customFormat="1" ht="13.5" customHeight="1">
      <c r="A44" s="12" t="s">
        <v>115</v>
      </c>
      <c r="B44" s="353" t="s">
        <v>116</v>
      </c>
      <c r="C44" s="33">
        <f>SUM(C45:C46)</f>
        <v>11500</v>
      </c>
      <c r="D44" s="23"/>
      <c r="E44" s="33"/>
      <c r="F44" s="13"/>
      <c r="G44" s="137"/>
      <c r="H44" s="13"/>
    </row>
    <row r="45" spans="1:7" s="5" customFormat="1" ht="13.5" hidden="1">
      <c r="A45" s="13" t="s">
        <v>72</v>
      </c>
      <c r="B45" s="107" t="s">
        <v>73</v>
      </c>
      <c r="C45" s="821">
        <v>4500</v>
      </c>
      <c r="D45" s="137"/>
      <c r="E45" s="33"/>
      <c r="F45" s="13"/>
      <c r="G45" s="137"/>
    </row>
    <row r="46" spans="1:8" s="107" customFormat="1" ht="13.5" customHeight="1" hidden="1">
      <c r="A46" s="13" t="s">
        <v>96</v>
      </c>
      <c r="B46" s="107" t="s">
        <v>71</v>
      </c>
      <c r="C46" s="821">
        <v>7000</v>
      </c>
      <c r="D46" s="23"/>
      <c r="E46" s="33"/>
      <c r="F46" s="13"/>
      <c r="G46" s="137"/>
      <c r="H46" s="13"/>
    </row>
    <row r="47" spans="1:8" s="107" customFormat="1" ht="13.5" customHeight="1">
      <c r="A47" s="12" t="s">
        <v>117</v>
      </c>
      <c r="B47" s="353" t="s">
        <v>118</v>
      </c>
      <c r="C47" s="33">
        <f>SUM(C48)</f>
        <v>17600</v>
      </c>
      <c r="D47" s="23"/>
      <c r="E47" s="33"/>
      <c r="F47" s="13"/>
      <c r="G47" s="137"/>
      <c r="H47" s="13"/>
    </row>
    <row r="48" spans="1:8" s="107" customFormat="1" ht="13.5" customHeight="1" hidden="1">
      <c r="A48" s="13" t="s">
        <v>51</v>
      </c>
      <c r="B48" s="24" t="s">
        <v>52</v>
      </c>
      <c r="C48" s="821">
        <f>22600-5000</f>
        <v>17600</v>
      </c>
      <c r="D48" s="116"/>
      <c r="E48" s="26"/>
      <c r="F48" s="142"/>
      <c r="G48" s="137"/>
      <c r="H48" s="13"/>
    </row>
    <row r="49" spans="1:8" s="107" customFormat="1" ht="13.5" customHeight="1">
      <c r="A49" s="353" t="s">
        <v>129</v>
      </c>
      <c r="B49" s="26" t="s">
        <v>119</v>
      </c>
      <c r="C49" s="26">
        <f>SUM(C50)</f>
        <v>4250</v>
      </c>
      <c r="D49" s="115"/>
      <c r="E49" s="26"/>
      <c r="F49" s="142"/>
      <c r="G49" s="137"/>
      <c r="H49" s="13"/>
    </row>
    <row r="50" spans="1:8" s="107" customFormat="1" ht="13.5" customHeight="1" hidden="1">
      <c r="A50" s="107" t="s">
        <v>168</v>
      </c>
      <c r="B50" s="24" t="s">
        <v>551</v>
      </c>
      <c r="C50" s="821">
        <v>4250</v>
      </c>
      <c r="D50" s="22"/>
      <c r="E50" s="22"/>
      <c r="F50" s="5"/>
      <c r="G50" s="528"/>
      <c r="H50" s="176"/>
    </row>
    <row r="51" spans="1:8" s="107" customFormat="1" ht="13.5" customHeight="1">
      <c r="A51" s="353" t="s">
        <v>134</v>
      </c>
      <c r="B51" s="26" t="s">
        <v>133</v>
      </c>
      <c r="C51" s="26">
        <f>SUM(C52)</f>
        <v>15500</v>
      </c>
      <c r="D51" s="22"/>
      <c r="E51" s="22"/>
      <c r="F51" s="5"/>
      <c r="G51" s="528"/>
      <c r="H51" s="176"/>
    </row>
    <row r="52" spans="1:8" s="107" customFormat="1" ht="13.5" customHeight="1" hidden="1">
      <c r="A52" s="107" t="s">
        <v>103</v>
      </c>
      <c r="B52" s="24" t="s">
        <v>78</v>
      </c>
      <c r="C52" s="821">
        <v>15500</v>
      </c>
      <c r="D52" s="22"/>
      <c r="E52" s="22"/>
      <c r="F52" s="5"/>
      <c r="G52" s="528"/>
      <c r="H52" s="176"/>
    </row>
    <row r="53" spans="1:8" s="107" customFormat="1" ht="13.5" customHeight="1">
      <c r="A53" s="353" t="s">
        <v>169</v>
      </c>
      <c r="B53" s="26" t="s">
        <v>135</v>
      </c>
      <c r="C53" s="26">
        <f>SUM(C54:C56)</f>
        <v>20300</v>
      </c>
      <c r="D53" s="22"/>
      <c r="E53" s="22"/>
      <c r="F53" s="5"/>
      <c r="G53" s="528"/>
      <c r="H53" s="176"/>
    </row>
    <row r="54" spans="1:7" s="5" customFormat="1" ht="13.5" hidden="1">
      <c r="A54" s="107" t="s">
        <v>170</v>
      </c>
      <c r="B54" s="24" t="s">
        <v>70</v>
      </c>
      <c r="C54" s="821">
        <v>4300</v>
      </c>
      <c r="D54" s="137"/>
      <c r="E54" s="26"/>
      <c r="F54" s="142"/>
      <c r="G54" s="137"/>
    </row>
    <row r="55" spans="1:7" s="5" customFormat="1" ht="13.5" hidden="1">
      <c r="A55" s="107" t="s">
        <v>171</v>
      </c>
      <c r="B55" s="24" t="s">
        <v>75</v>
      </c>
      <c r="C55" s="821">
        <v>6000</v>
      </c>
      <c r="D55" s="115"/>
      <c r="E55" s="26"/>
      <c r="F55" s="142"/>
      <c r="G55" s="137"/>
    </row>
    <row r="56" spans="1:7" s="5" customFormat="1" ht="13.5" hidden="1">
      <c r="A56" s="107" t="s">
        <v>173</v>
      </c>
      <c r="B56" s="24" t="s">
        <v>135</v>
      </c>
      <c r="C56" s="821">
        <f>25000-15000</f>
        <v>10000</v>
      </c>
      <c r="D56" s="115"/>
      <c r="E56" s="26"/>
      <c r="F56" s="404"/>
      <c r="G56" s="137"/>
    </row>
    <row r="57" spans="1:7" s="5" customFormat="1" ht="14.25" thickBot="1">
      <c r="A57" s="107"/>
      <c r="B57" s="24"/>
      <c r="C57" s="24"/>
      <c r="D57" s="115"/>
      <c r="E57" s="26"/>
      <c r="F57" s="404"/>
      <c r="G57" s="137"/>
    </row>
    <row r="58" spans="1:8" s="107" customFormat="1" ht="13.5" customHeight="1" thickBot="1">
      <c r="A58" s="949" t="s">
        <v>3</v>
      </c>
      <c r="B58" s="950"/>
      <c r="C58" s="36">
        <f>+C59+C65+C67+C69+C72+C75+C77</f>
        <v>6490100</v>
      </c>
      <c r="D58" s="22"/>
      <c r="E58" s="22"/>
      <c r="F58" s="5"/>
      <c r="G58" s="528"/>
      <c r="H58" s="25"/>
    </row>
    <row r="59" spans="1:8" s="142" customFormat="1" ht="13.5" customHeight="1">
      <c r="A59" s="12" t="s">
        <v>552</v>
      </c>
      <c r="B59" s="404" t="s">
        <v>553</v>
      </c>
      <c r="C59" s="34">
        <f>SUM(C60:C64)</f>
        <v>6167400</v>
      </c>
      <c r="D59" s="321"/>
      <c r="E59" s="321"/>
      <c r="F59" s="529"/>
      <c r="G59" s="529"/>
      <c r="H59" s="137"/>
    </row>
    <row r="60" spans="1:9" s="142" customFormat="1" ht="13.5" customHeight="1" hidden="1">
      <c r="A60" s="13" t="s">
        <v>554</v>
      </c>
      <c r="B60" s="142" t="s">
        <v>555</v>
      </c>
      <c r="C60" s="824">
        <f>2455400-250000</f>
        <v>2205400</v>
      </c>
      <c r="G60" s="321"/>
      <c r="H60" s="321"/>
      <c r="I60" s="529"/>
    </row>
    <row r="61" spans="1:9" s="142" customFormat="1" ht="13.5" customHeight="1" hidden="1">
      <c r="A61" s="13" t="s">
        <v>556</v>
      </c>
      <c r="B61" s="142" t="s">
        <v>557</v>
      </c>
      <c r="C61" s="824">
        <v>15500</v>
      </c>
      <c r="G61" s="321"/>
      <c r="H61" s="321"/>
      <c r="I61" s="529"/>
    </row>
    <row r="62" spans="1:9" s="107" customFormat="1" ht="13.5" customHeight="1" hidden="1">
      <c r="A62" s="13" t="s">
        <v>558</v>
      </c>
      <c r="B62" s="13" t="s">
        <v>559</v>
      </c>
      <c r="C62" s="824">
        <v>155000</v>
      </c>
      <c r="G62" s="522"/>
      <c r="H62" s="26"/>
      <c r="I62" s="314"/>
    </row>
    <row r="63" spans="1:9" s="107" customFormat="1" ht="13.5" customHeight="1" hidden="1">
      <c r="A63" s="13" t="s">
        <v>560</v>
      </c>
      <c r="B63" s="13" t="s">
        <v>561</v>
      </c>
      <c r="C63" s="824">
        <f>4270000-250000-250000</f>
        <v>3770000</v>
      </c>
      <c r="G63" s="137"/>
      <c r="H63" s="26"/>
      <c r="I63" s="142"/>
    </row>
    <row r="64" spans="1:9" s="107" customFormat="1" ht="13.5" customHeight="1" hidden="1">
      <c r="A64" s="13" t="s">
        <v>562</v>
      </c>
      <c r="B64" s="13" t="s">
        <v>563</v>
      </c>
      <c r="C64" s="824">
        <v>21500</v>
      </c>
      <c r="G64" s="23"/>
      <c r="H64" s="26"/>
      <c r="I64" s="142"/>
    </row>
    <row r="65" spans="1:9" s="107" customFormat="1" ht="13.5" customHeight="1">
      <c r="A65" s="12" t="s">
        <v>120</v>
      </c>
      <c r="B65" s="12" t="s">
        <v>121</v>
      </c>
      <c r="C65" s="33">
        <f>SUM(C66)</f>
        <v>12500</v>
      </c>
      <c r="G65" s="115"/>
      <c r="H65" s="26"/>
      <c r="I65" s="142"/>
    </row>
    <row r="66" spans="1:8" s="107" customFormat="1" ht="13.5" customHeight="1" hidden="1">
      <c r="A66" s="13" t="s">
        <v>57</v>
      </c>
      <c r="B66" s="13" t="s">
        <v>18</v>
      </c>
      <c r="C66" s="821">
        <v>12500</v>
      </c>
      <c r="D66" s="116"/>
      <c r="E66" s="33"/>
      <c r="F66" s="142"/>
      <c r="G66" s="137"/>
      <c r="H66" s="13"/>
    </row>
    <row r="67" spans="1:12" s="5" customFormat="1" ht="13.5">
      <c r="A67" s="12" t="s">
        <v>130</v>
      </c>
      <c r="B67" s="26" t="s">
        <v>131</v>
      </c>
      <c r="C67" s="33">
        <f>SUM(C68)</f>
        <v>9200</v>
      </c>
      <c r="D67" s="26"/>
      <c r="E67" s="46"/>
      <c r="F67" s="172"/>
      <c r="G67" s="529"/>
      <c r="H67" s="208"/>
      <c r="I67" s="208"/>
      <c r="J67" s="208"/>
      <c r="K67" s="208"/>
      <c r="L67" s="208"/>
    </row>
    <row r="68" spans="1:8" s="107" customFormat="1" ht="13.5" customHeight="1" hidden="1">
      <c r="A68" s="13" t="s">
        <v>148</v>
      </c>
      <c r="B68" s="13" t="s">
        <v>77</v>
      </c>
      <c r="C68" s="821">
        <v>9200</v>
      </c>
      <c r="D68" s="115"/>
      <c r="E68" s="26"/>
      <c r="F68" s="314"/>
      <c r="G68" s="137"/>
      <c r="H68" s="25"/>
    </row>
    <row r="69" spans="1:8" s="107" customFormat="1" ht="13.5" customHeight="1">
      <c r="A69" s="353" t="s">
        <v>122</v>
      </c>
      <c r="B69" s="12" t="s">
        <v>175</v>
      </c>
      <c r="C69" s="33">
        <f>SUM(C70:C71)</f>
        <v>116400</v>
      </c>
      <c r="D69" s="116"/>
      <c r="E69" s="26"/>
      <c r="F69" s="142"/>
      <c r="G69" s="137"/>
      <c r="H69" s="13"/>
    </row>
    <row r="70" spans="1:7" s="208" customFormat="1" ht="13.5" hidden="1">
      <c r="A70" s="107" t="s">
        <v>150</v>
      </c>
      <c r="B70" s="13" t="s">
        <v>149</v>
      </c>
      <c r="C70" s="821">
        <v>10000</v>
      </c>
      <c r="D70" s="33"/>
      <c r="F70" s="172"/>
      <c r="G70" s="529"/>
    </row>
    <row r="71" spans="1:7" s="208" customFormat="1" ht="13.5" hidden="1">
      <c r="A71" s="107" t="s">
        <v>53</v>
      </c>
      <c r="B71" s="24" t="s">
        <v>97</v>
      </c>
      <c r="C71" s="821">
        <f>146400-40000</f>
        <v>106400</v>
      </c>
      <c r="D71" s="25"/>
      <c r="F71" s="172"/>
      <c r="G71" s="529"/>
    </row>
    <row r="72" spans="1:7" s="208" customFormat="1" ht="13.5">
      <c r="A72" s="353" t="s">
        <v>123</v>
      </c>
      <c r="B72" s="26" t="s">
        <v>124</v>
      </c>
      <c r="C72" s="33">
        <f>SUM(C73:C74)</f>
        <v>19250</v>
      </c>
      <c r="D72" s="25"/>
      <c r="E72" s="172"/>
      <c r="F72" s="172"/>
      <c r="G72" s="172"/>
    </row>
    <row r="73" spans="1:7" s="208" customFormat="1" ht="13.5" hidden="1">
      <c r="A73" s="107" t="s">
        <v>84</v>
      </c>
      <c r="B73" s="13" t="s">
        <v>79</v>
      </c>
      <c r="C73" s="821">
        <v>8000</v>
      </c>
      <c r="D73" s="25"/>
      <c r="E73" s="172"/>
      <c r="F73" s="172"/>
      <c r="G73" s="529"/>
    </row>
    <row r="74" spans="1:7" s="208" customFormat="1" ht="13.5" hidden="1">
      <c r="A74" s="107" t="s">
        <v>98</v>
      </c>
      <c r="B74" s="24" t="s">
        <v>69</v>
      </c>
      <c r="C74" s="821">
        <v>11250</v>
      </c>
      <c r="D74" s="25"/>
      <c r="E74" s="172"/>
      <c r="F74" s="172"/>
      <c r="G74" s="529"/>
    </row>
    <row r="75" spans="1:7" s="208" customFormat="1" ht="13.5">
      <c r="A75" s="353" t="s">
        <v>143</v>
      </c>
      <c r="B75" s="26" t="s">
        <v>61</v>
      </c>
      <c r="C75" s="33">
        <f>SUM(C76)</f>
        <v>14000</v>
      </c>
      <c r="D75" s="25"/>
      <c r="E75" s="172"/>
      <c r="F75" s="172"/>
      <c r="G75" s="529"/>
    </row>
    <row r="76" spans="1:7" s="208" customFormat="1" ht="13.5" hidden="1">
      <c r="A76" s="107" t="s">
        <v>60</v>
      </c>
      <c r="B76" s="107" t="s">
        <v>61</v>
      </c>
      <c r="C76" s="821">
        <v>14000</v>
      </c>
      <c r="D76" s="25"/>
      <c r="E76" s="172"/>
      <c r="F76" s="172"/>
      <c r="G76" s="529"/>
    </row>
    <row r="77" spans="1:7" s="208" customFormat="1" ht="13.5">
      <c r="A77" s="353" t="s">
        <v>125</v>
      </c>
      <c r="B77" s="26" t="s">
        <v>8</v>
      </c>
      <c r="C77" s="33">
        <f>SUM(C78:C80)</f>
        <v>151350</v>
      </c>
      <c r="D77" s="25"/>
      <c r="E77" s="172"/>
      <c r="F77" s="172"/>
      <c r="G77" s="529"/>
    </row>
    <row r="78" spans="1:12" s="208" customFormat="1" ht="13.5" hidden="1">
      <c r="A78" s="107" t="s">
        <v>99</v>
      </c>
      <c r="B78" s="24" t="s">
        <v>8</v>
      </c>
      <c r="C78" s="821">
        <v>94000</v>
      </c>
      <c r="D78" s="25"/>
      <c r="E78" s="172"/>
      <c r="F78" s="172"/>
      <c r="G78" s="528"/>
      <c r="H78" s="5"/>
      <c r="I78" s="5"/>
      <c r="J78" s="5"/>
      <c r="K78" s="5"/>
      <c r="L78" s="5"/>
    </row>
    <row r="79" spans="1:7" s="208" customFormat="1" ht="13.5" hidden="1">
      <c r="A79" s="107" t="s">
        <v>205</v>
      </c>
      <c r="B79" s="24" t="s">
        <v>54</v>
      </c>
      <c r="C79" s="821">
        <v>27350</v>
      </c>
      <c r="D79" s="33"/>
      <c r="E79" s="172"/>
      <c r="F79" s="172"/>
      <c r="G79" s="529"/>
    </row>
    <row r="80" spans="1:12" s="5" customFormat="1" ht="13.5" hidden="1">
      <c r="A80" s="107" t="s">
        <v>100</v>
      </c>
      <c r="B80" s="24" t="s">
        <v>7</v>
      </c>
      <c r="C80" s="821">
        <f>45000-15000</f>
        <v>30000</v>
      </c>
      <c r="D80" s="33"/>
      <c r="E80" s="46"/>
      <c r="F80" s="172"/>
      <c r="G80" s="529"/>
      <c r="H80" s="208"/>
      <c r="I80" s="208"/>
      <c r="J80" s="208"/>
      <c r="K80" s="208"/>
      <c r="L80" s="208"/>
    </row>
    <row r="81" spans="1:8" s="107" customFormat="1" ht="13.5" customHeight="1" thickBot="1">
      <c r="A81" s="13"/>
      <c r="B81" s="13"/>
      <c r="C81" s="25"/>
      <c r="D81" s="115"/>
      <c r="E81" s="26"/>
      <c r="F81" s="314"/>
      <c r="G81" s="137"/>
      <c r="H81" s="25"/>
    </row>
    <row r="82" spans="1:7" s="353" customFormat="1" ht="13.5" customHeight="1" thickBot="1">
      <c r="A82" s="953" t="s">
        <v>5</v>
      </c>
      <c r="B82" s="954"/>
      <c r="C82" s="37">
        <f>C83</f>
        <v>40000</v>
      </c>
      <c r="D82" s="530"/>
      <c r="E82" s="531"/>
      <c r="F82" s="532"/>
      <c r="G82" s="533"/>
    </row>
    <row r="83" spans="1:7" s="142" customFormat="1" ht="13.5" customHeight="1">
      <c r="A83" s="12" t="s">
        <v>139</v>
      </c>
      <c r="B83" s="404" t="s">
        <v>140</v>
      </c>
      <c r="C83" s="34">
        <f>SUM(C84:C84)</f>
        <v>40000</v>
      </c>
      <c r="D83" s="534"/>
      <c r="E83" s="535"/>
      <c r="F83" s="535"/>
      <c r="G83" s="536"/>
    </row>
    <row r="84" spans="1:7" s="107" customFormat="1" ht="13.5" customHeight="1" hidden="1">
      <c r="A84" s="107" t="s">
        <v>157</v>
      </c>
      <c r="B84" s="25" t="s">
        <v>12</v>
      </c>
      <c r="C84" s="821">
        <v>40000</v>
      </c>
      <c r="D84" s="540"/>
      <c r="E84" s="531"/>
      <c r="F84" s="530"/>
      <c r="G84" s="541"/>
    </row>
    <row r="85" spans="2:7" s="107" customFormat="1" ht="13.5" customHeight="1" thickBot="1">
      <c r="B85" s="25"/>
      <c r="C85" s="25"/>
      <c r="D85" s="540"/>
      <c r="E85" s="531"/>
      <c r="F85" s="530"/>
      <c r="G85" s="541"/>
    </row>
    <row r="86" spans="1:7" s="5" customFormat="1" ht="14.25" thickBot="1">
      <c r="A86" s="951" t="s">
        <v>4</v>
      </c>
      <c r="B86" s="952"/>
      <c r="C86" s="32">
        <f>C87+C89</f>
        <v>39500</v>
      </c>
      <c r="D86" s="22"/>
      <c r="E86" s="22"/>
      <c r="G86" s="528"/>
    </row>
    <row r="87" spans="1:7" s="5" customFormat="1" ht="13.5">
      <c r="A87" s="353" t="s">
        <v>126</v>
      </c>
      <c r="B87" s="353" t="s">
        <v>127</v>
      </c>
      <c r="C87" s="33">
        <f>SUM(C88)</f>
        <v>25000</v>
      </c>
      <c r="D87" s="24"/>
      <c r="E87" s="22"/>
      <c r="G87" s="528"/>
    </row>
    <row r="88" spans="1:7" s="5" customFormat="1" ht="13.5" hidden="1">
      <c r="A88" s="107" t="s">
        <v>101</v>
      </c>
      <c r="B88" s="107" t="s">
        <v>152</v>
      </c>
      <c r="C88" s="821">
        <v>25000</v>
      </c>
      <c r="D88" s="22"/>
      <c r="E88" s="22"/>
      <c r="G88" s="528"/>
    </row>
    <row r="89" spans="1:7" s="5" customFormat="1" ht="13.5">
      <c r="A89" s="353" t="s">
        <v>188</v>
      </c>
      <c r="B89" s="26" t="s">
        <v>146</v>
      </c>
      <c r="C89" s="26">
        <f>SUM(C90)</f>
        <v>14500</v>
      </c>
      <c r="D89" s="22"/>
      <c r="E89" s="22"/>
      <c r="G89" s="528"/>
    </row>
    <row r="90" spans="1:7" s="5" customFormat="1" ht="13.5" hidden="1">
      <c r="A90" s="107" t="s">
        <v>189</v>
      </c>
      <c r="B90" s="24" t="s">
        <v>56</v>
      </c>
      <c r="C90" s="821">
        <v>14500</v>
      </c>
      <c r="D90" s="24"/>
      <c r="E90" s="22"/>
      <c r="G90" s="528"/>
    </row>
    <row r="91" spans="1:7" s="5" customFormat="1" ht="13.5">
      <c r="A91" s="107"/>
      <c r="B91" s="107"/>
      <c r="C91" s="24"/>
      <c r="D91" s="22"/>
      <c r="E91" s="22"/>
      <c r="G91" s="528"/>
    </row>
    <row r="92" spans="1:7" s="5" customFormat="1" ht="14.25" thickBot="1">
      <c r="A92" s="107"/>
      <c r="B92" s="107"/>
      <c r="C92" s="19"/>
      <c r="D92" s="19"/>
      <c r="E92" s="19"/>
      <c r="F92" s="3"/>
      <c r="G92" s="515"/>
    </row>
    <row r="93" spans="1:7" s="5" customFormat="1" ht="12.75">
      <c r="A93" s="64" t="s">
        <v>572</v>
      </c>
      <c r="B93" s="221"/>
      <c r="C93" s="65"/>
      <c r="D93" s="67" t="s">
        <v>6</v>
      </c>
      <c r="E93" s="516" t="s">
        <v>573</v>
      </c>
      <c r="F93" s="3"/>
      <c r="G93" s="515"/>
    </row>
    <row r="94" spans="1:7" ht="13.5" thickBot="1">
      <c r="A94" s="45"/>
      <c r="B94" s="208" t="s">
        <v>224</v>
      </c>
      <c r="C94" s="172"/>
      <c r="D94" s="447"/>
      <c r="E94" s="542"/>
      <c r="G94" s="515"/>
    </row>
    <row r="95" spans="1:7" ht="12.75">
      <c r="A95" s="64" t="s">
        <v>574</v>
      </c>
      <c r="B95" s="221"/>
      <c r="C95" s="65"/>
      <c r="D95" s="65"/>
      <c r="E95" s="449"/>
      <c r="G95" s="515"/>
    </row>
    <row r="96" spans="1:5" ht="12.75">
      <c r="A96" s="45" t="s">
        <v>575</v>
      </c>
      <c r="B96" s="208"/>
      <c r="C96" s="172"/>
      <c r="D96" s="172"/>
      <c r="E96" s="450"/>
    </row>
    <row r="97" spans="1:5" ht="12.75">
      <c r="A97" s="425" t="s">
        <v>576</v>
      </c>
      <c r="B97" s="208"/>
      <c r="C97" s="172"/>
      <c r="D97" s="172"/>
      <c r="E97" s="450"/>
    </row>
    <row r="98" spans="1:5" ht="12.75">
      <c r="A98" s="45" t="s">
        <v>577</v>
      </c>
      <c r="B98" s="208"/>
      <c r="C98" s="172"/>
      <c r="D98" s="172"/>
      <c r="E98" s="450"/>
    </row>
    <row r="99" spans="1:7" ht="12.75">
      <c r="A99" s="425" t="s">
        <v>578</v>
      </c>
      <c r="B99" s="208"/>
      <c r="C99" s="172"/>
      <c r="D99" s="172"/>
      <c r="E99" s="450"/>
      <c r="G99" s="515"/>
    </row>
    <row r="100" spans="1:7" ht="12.75">
      <c r="A100" s="45" t="s">
        <v>579</v>
      </c>
      <c r="B100" s="208"/>
      <c r="C100" s="172"/>
      <c r="D100" s="172"/>
      <c r="E100" s="450"/>
      <c r="G100" s="515"/>
    </row>
    <row r="101" spans="1:7" ht="13.5" thickBot="1">
      <c r="A101" s="49" t="s">
        <v>580</v>
      </c>
      <c r="B101" s="205"/>
      <c r="C101" s="119"/>
      <c r="D101" s="119"/>
      <c r="E101" s="452"/>
      <c r="G101" s="515"/>
    </row>
    <row r="102" spans="1:7" ht="13.5">
      <c r="A102" s="52" t="s">
        <v>1365</v>
      </c>
      <c r="B102" s="13"/>
      <c r="C102" s="25"/>
      <c r="D102" s="25"/>
      <c r="E102" s="453"/>
      <c r="G102" s="515"/>
    </row>
    <row r="103" spans="1:7" ht="13.5">
      <c r="A103" s="52" t="s">
        <v>581</v>
      </c>
      <c r="B103" s="13"/>
      <c r="C103" s="25"/>
      <c r="D103" s="25"/>
      <c r="E103" s="453"/>
      <c r="G103" s="515"/>
    </row>
    <row r="104" spans="1:7" ht="13.5">
      <c r="A104" s="52" t="s">
        <v>1421</v>
      </c>
      <c r="B104" s="13"/>
      <c r="C104" s="25"/>
      <c r="D104" s="25"/>
      <c r="E104" s="453"/>
      <c r="G104" s="515"/>
    </row>
    <row r="105" spans="1:7" ht="14.25" thickBot="1">
      <c r="A105" s="52" t="s">
        <v>16</v>
      </c>
      <c r="B105" s="13"/>
      <c r="C105" s="25"/>
      <c r="D105" s="25"/>
      <c r="E105" s="453"/>
      <c r="G105" s="515"/>
    </row>
    <row r="106" spans="1:7" ht="14.25" thickBot="1">
      <c r="A106" s="54" t="s">
        <v>17</v>
      </c>
      <c r="B106" s="192"/>
      <c r="C106" s="55"/>
      <c r="D106" s="191"/>
      <c r="E106" s="161">
        <f>+C108+C126+C149</f>
        <v>9310751</v>
      </c>
      <c r="G106" s="128"/>
    </row>
    <row r="107" spans="1:7" ht="14.25" thickBot="1">
      <c r="A107" s="12"/>
      <c r="B107" s="12"/>
      <c r="C107" s="33"/>
      <c r="D107" s="33"/>
      <c r="F107" s="522"/>
      <c r="G107" s="515"/>
    </row>
    <row r="108" spans="1:7" ht="14.25" thickBot="1">
      <c r="A108" s="947" t="s">
        <v>2</v>
      </c>
      <c r="B108" s="948"/>
      <c r="C108" s="38">
        <f>+C111+C118+C114+C116+C120+C122+C109</f>
        <v>460350</v>
      </c>
      <c r="E108" s="3"/>
      <c r="F108" s="522"/>
      <c r="G108" s="515"/>
    </row>
    <row r="109" spans="1:7" s="142" customFormat="1" ht="13.5" customHeight="1">
      <c r="A109" s="12" t="s">
        <v>113</v>
      </c>
      <c r="B109" s="404" t="s">
        <v>114</v>
      </c>
      <c r="C109" s="34">
        <f>SUM(C110)</f>
        <v>19100</v>
      </c>
      <c r="D109" s="526"/>
      <c r="F109" s="524"/>
      <c r="G109" s="137"/>
    </row>
    <row r="110" spans="1:8" s="107" customFormat="1" ht="13.5" customHeight="1" hidden="1">
      <c r="A110" s="13" t="s">
        <v>50</v>
      </c>
      <c r="B110" s="107" t="s">
        <v>49</v>
      </c>
      <c r="C110" s="821">
        <f>28100-9000</f>
        <v>19100</v>
      </c>
      <c r="E110" s="33"/>
      <c r="F110" s="13"/>
      <c r="G110" s="137"/>
      <c r="H110" s="13"/>
    </row>
    <row r="111" spans="1:7" ht="13.5">
      <c r="A111" s="12" t="s">
        <v>115</v>
      </c>
      <c r="B111" s="353" t="s">
        <v>116</v>
      </c>
      <c r="C111" s="34">
        <f>SUM(C112:C113)</f>
        <v>150300</v>
      </c>
      <c r="E111" s="3"/>
      <c r="G111" s="515"/>
    </row>
    <row r="112" spans="1:7" s="5" customFormat="1" ht="13.5" hidden="1">
      <c r="A112" s="13" t="s">
        <v>72</v>
      </c>
      <c r="B112" s="107" t="s">
        <v>73</v>
      </c>
      <c r="C112" s="821">
        <v>2300</v>
      </c>
      <c r="D112" s="137"/>
      <c r="E112" s="33"/>
      <c r="F112" s="13"/>
      <c r="G112" s="543"/>
    </row>
    <row r="113" spans="1:7" ht="13.5" hidden="1">
      <c r="A113" s="13" t="s">
        <v>96</v>
      </c>
      <c r="B113" s="107" t="s">
        <v>71</v>
      </c>
      <c r="C113" s="821">
        <f>193000-45000</f>
        <v>148000</v>
      </c>
      <c r="E113" s="15"/>
      <c r="G113" s="137"/>
    </row>
    <row r="114" spans="1:7" ht="13.5">
      <c r="A114" s="12" t="s">
        <v>117</v>
      </c>
      <c r="B114" s="353" t="s">
        <v>118</v>
      </c>
      <c r="C114" s="33">
        <f>SUM(C115)</f>
        <v>157800</v>
      </c>
      <c r="D114" s="15"/>
      <c r="E114" s="15"/>
      <c r="G114" s="515"/>
    </row>
    <row r="115" spans="1:7" ht="13.5" hidden="1">
      <c r="A115" s="13" t="s">
        <v>51</v>
      </c>
      <c r="B115" s="24" t="s">
        <v>52</v>
      </c>
      <c r="C115" s="821">
        <f>182800-25000</f>
        <v>157800</v>
      </c>
      <c r="G115" s="137"/>
    </row>
    <row r="116" spans="1:7" ht="13.5">
      <c r="A116" s="12" t="s">
        <v>219</v>
      </c>
      <c r="B116" s="26" t="s">
        <v>582</v>
      </c>
      <c r="C116" s="33">
        <f>SUM(C117)</f>
        <v>91000</v>
      </c>
      <c r="G116" s="515"/>
    </row>
    <row r="117" spans="1:7" ht="13.5" hidden="1">
      <c r="A117" s="13" t="s">
        <v>217</v>
      </c>
      <c r="B117" s="107" t="s">
        <v>252</v>
      </c>
      <c r="C117" s="821">
        <f>111000-20000</f>
        <v>91000</v>
      </c>
      <c r="G117" s="137"/>
    </row>
    <row r="118" spans="1:9" s="107" customFormat="1" ht="13.5" customHeight="1">
      <c r="A118" s="353" t="s">
        <v>129</v>
      </c>
      <c r="B118" s="812" t="s">
        <v>215</v>
      </c>
      <c r="C118" s="33">
        <f>SUM(C119:C119)</f>
        <v>5600</v>
      </c>
      <c r="D118" s="115"/>
      <c r="E118" s="26"/>
      <c r="F118" s="142"/>
      <c r="G118" s="25"/>
      <c r="H118" s="13"/>
      <c r="I118" s="388"/>
    </row>
    <row r="119" spans="1:9" s="107" customFormat="1" ht="13.5" customHeight="1" hidden="1">
      <c r="A119" s="13" t="s">
        <v>1169</v>
      </c>
      <c r="B119" s="57" t="s">
        <v>1194</v>
      </c>
      <c r="C119" s="821">
        <v>5600</v>
      </c>
      <c r="D119" s="115"/>
      <c r="E119" s="26"/>
      <c r="F119" s="142"/>
      <c r="G119" s="25"/>
      <c r="H119" s="13"/>
      <c r="I119" s="388"/>
    </row>
    <row r="120" spans="1:7" ht="14.25" customHeight="1">
      <c r="A120" s="353" t="s">
        <v>134</v>
      </c>
      <c r="B120" s="26" t="s">
        <v>133</v>
      </c>
      <c r="C120" s="26">
        <f>SUM(C121)</f>
        <v>15500</v>
      </c>
      <c r="G120" s="515"/>
    </row>
    <row r="121" spans="1:7" s="107" customFormat="1" ht="12.75" customHeight="1" hidden="1">
      <c r="A121" s="107" t="s">
        <v>103</v>
      </c>
      <c r="B121" s="24" t="s">
        <v>78</v>
      </c>
      <c r="C121" s="821">
        <v>15500</v>
      </c>
      <c r="D121" s="544"/>
      <c r="E121" s="19"/>
      <c r="F121" s="3"/>
      <c r="G121" s="515"/>
    </row>
    <row r="122" spans="1:7" s="107" customFormat="1" ht="12.75" customHeight="1">
      <c r="A122" s="353" t="s">
        <v>169</v>
      </c>
      <c r="B122" s="26" t="s">
        <v>583</v>
      </c>
      <c r="C122" s="26">
        <f>SUM(C123:C124)</f>
        <v>21050</v>
      </c>
      <c r="D122" s="544"/>
      <c r="E122" s="19"/>
      <c r="F122" s="3"/>
      <c r="G122" s="515"/>
    </row>
    <row r="123" spans="1:7" s="107" customFormat="1" ht="12.75" customHeight="1" hidden="1">
      <c r="A123" s="107" t="s">
        <v>170</v>
      </c>
      <c r="B123" s="24" t="s">
        <v>70</v>
      </c>
      <c r="C123" s="821">
        <v>7500</v>
      </c>
      <c r="D123" s="544"/>
      <c r="E123" s="19"/>
      <c r="F123" s="3"/>
      <c r="G123" s="515"/>
    </row>
    <row r="124" spans="1:7" s="107" customFormat="1" ht="12.75" customHeight="1" hidden="1">
      <c r="A124" s="107" t="s">
        <v>173</v>
      </c>
      <c r="B124" s="24" t="s">
        <v>583</v>
      </c>
      <c r="C124" s="821">
        <v>13550</v>
      </c>
      <c r="D124" s="545"/>
      <c r="E124" s="19"/>
      <c r="F124" s="3"/>
      <c r="G124" s="515"/>
    </row>
    <row r="125" spans="2:7" s="107" customFormat="1" ht="12.75" customHeight="1" thickBot="1">
      <c r="B125" s="24"/>
      <c r="C125" s="24"/>
      <c r="D125" s="545"/>
      <c r="E125" s="19"/>
      <c r="F125" s="3"/>
      <c r="G125" s="515"/>
    </row>
    <row r="126" spans="1:7" s="184" customFormat="1" ht="12.75" customHeight="1" thickBot="1">
      <c r="A126" s="949" t="s">
        <v>3</v>
      </c>
      <c r="B126" s="950"/>
      <c r="C126" s="36">
        <f>C127+C129+C131+C134+C138+C140+C143</f>
        <v>8811450</v>
      </c>
      <c r="D126" s="544"/>
      <c r="E126" s="19"/>
      <c r="F126" s="3"/>
      <c r="G126" s="515"/>
    </row>
    <row r="127" spans="1:7" s="180" customFormat="1" ht="12.75" customHeight="1">
      <c r="A127" s="12" t="s">
        <v>120</v>
      </c>
      <c r="B127" s="12" t="s">
        <v>121</v>
      </c>
      <c r="C127" s="34">
        <f>SUM(C128)</f>
        <v>448900</v>
      </c>
      <c r="D127" s="546"/>
      <c r="E127" s="526"/>
      <c r="F127" s="527"/>
      <c r="G127" s="527"/>
    </row>
    <row r="128" spans="1:7" s="184" customFormat="1" ht="12.75" customHeight="1" hidden="1">
      <c r="A128" s="13" t="s">
        <v>57</v>
      </c>
      <c r="B128" s="13" t="s">
        <v>18</v>
      </c>
      <c r="C128" s="821">
        <f>420900+78000-50000</f>
        <v>448900</v>
      </c>
      <c r="E128" s="28"/>
      <c r="F128" s="142"/>
      <c r="G128" s="545"/>
    </row>
    <row r="129" spans="1:7" s="184" customFormat="1" ht="12.75" customHeight="1">
      <c r="A129" s="12" t="s">
        <v>130</v>
      </c>
      <c r="B129" s="812" t="s">
        <v>131</v>
      </c>
      <c r="C129" s="33">
        <f>C130</f>
        <v>15000</v>
      </c>
      <c r="E129" s="28"/>
      <c r="F129" s="142"/>
      <c r="G129" s="545"/>
    </row>
    <row r="130" spans="1:7" s="184" customFormat="1" ht="12.75" customHeight="1" hidden="1">
      <c r="A130" s="13" t="s">
        <v>148</v>
      </c>
      <c r="B130" s="57" t="s">
        <v>243</v>
      </c>
      <c r="C130" s="821">
        <v>15000</v>
      </c>
      <c r="E130" s="28"/>
      <c r="F130" s="142"/>
      <c r="G130" s="545"/>
    </row>
    <row r="131" spans="1:7" s="184" customFormat="1" ht="12.75" customHeight="1">
      <c r="A131" s="353" t="s">
        <v>122</v>
      </c>
      <c r="B131" s="12" t="s">
        <v>175</v>
      </c>
      <c r="C131" s="33">
        <f>SUM(C132:C133)</f>
        <v>4725150</v>
      </c>
      <c r="E131" s="28"/>
      <c r="F131" s="142"/>
      <c r="G131" s="545"/>
    </row>
    <row r="132" spans="1:7" s="184" customFormat="1" ht="12.75" customHeight="1" hidden="1">
      <c r="A132" s="107" t="s">
        <v>150</v>
      </c>
      <c r="B132" s="13" t="s">
        <v>149</v>
      </c>
      <c r="C132" s="821">
        <v>20000</v>
      </c>
      <c r="E132" s="15"/>
      <c r="F132" s="15"/>
      <c r="G132" s="547"/>
    </row>
    <row r="133" spans="1:7" s="184" customFormat="1" ht="12.75" customHeight="1" hidden="1">
      <c r="A133" s="107" t="s">
        <v>53</v>
      </c>
      <c r="B133" s="24" t="s">
        <v>97</v>
      </c>
      <c r="C133" s="821">
        <f>5279700+925450-1000000-500000</f>
        <v>4705150</v>
      </c>
      <c r="E133" s="15"/>
      <c r="F133" s="15"/>
      <c r="G133" s="845"/>
    </row>
    <row r="134" spans="1:7" s="184" customFormat="1" ht="12.75" customHeight="1">
      <c r="A134" s="353" t="s">
        <v>123</v>
      </c>
      <c r="B134" s="26" t="s">
        <v>124</v>
      </c>
      <c r="C134" s="33">
        <f>SUM(C135:C137)</f>
        <v>94100</v>
      </c>
      <c r="E134" s="15"/>
      <c r="F134" s="15"/>
      <c r="G134" s="539"/>
    </row>
    <row r="135" spans="1:8" s="107" customFormat="1" ht="12.75" customHeight="1" hidden="1">
      <c r="A135" s="107" t="s">
        <v>84</v>
      </c>
      <c r="B135" s="107" t="s">
        <v>79</v>
      </c>
      <c r="C135" s="821">
        <v>20500</v>
      </c>
      <c r="G135" s="549"/>
      <c r="H135" s="13"/>
    </row>
    <row r="136" spans="1:7" s="107" customFormat="1" ht="12.75" customHeight="1" hidden="1">
      <c r="A136" s="107" t="s">
        <v>98</v>
      </c>
      <c r="B136" s="24" t="s">
        <v>69</v>
      </c>
      <c r="C136" s="821">
        <v>25000</v>
      </c>
      <c r="G136" s="549"/>
    </row>
    <row r="137" spans="1:7" s="107" customFormat="1" ht="12.75" customHeight="1" hidden="1">
      <c r="A137" s="107" t="s">
        <v>584</v>
      </c>
      <c r="B137" s="25" t="s">
        <v>585</v>
      </c>
      <c r="C137" s="821">
        <v>48600</v>
      </c>
      <c r="G137" s="549"/>
    </row>
    <row r="138" spans="1:7" s="107" customFormat="1" ht="12.75" customHeight="1">
      <c r="A138" s="353" t="s">
        <v>143</v>
      </c>
      <c r="B138" s="26" t="s">
        <v>61</v>
      </c>
      <c r="C138" s="33">
        <f>SUM(C139)</f>
        <v>327000</v>
      </c>
      <c r="G138" s="549"/>
    </row>
    <row r="139" spans="1:7" s="184" customFormat="1" ht="12.75" customHeight="1" hidden="1">
      <c r="A139" s="107" t="s">
        <v>60</v>
      </c>
      <c r="B139" s="107" t="s">
        <v>61</v>
      </c>
      <c r="C139" s="821">
        <v>327000</v>
      </c>
      <c r="E139" s="543"/>
      <c r="G139" s="549"/>
    </row>
    <row r="140" spans="1:7" ht="14.25" customHeight="1">
      <c r="A140" s="353" t="s">
        <v>586</v>
      </c>
      <c r="B140" s="26" t="s">
        <v>587</v>
      </c>
      <c r="C140" s="33">
        <f>SUM(C141:C142)</f>
        <v>13000</v>
      </c>
      <c r="E140" s="15"/>
      <c r="F140" s="15"/>
      <c r="G140" s="25"/>
    </row>
    <row r="141" spans="1:7" ht="13.5" customHeight="1" hidden="1">
      <c r="A141" s="107" t="s">
        <v>588</v>
      </c>
      <c r="B141" s="13" t="s">
        <v>589</v>
      </c>
      <c r="C141" s="821">
        <v>7000</v>
      </c>
      <c r="E141" s="15"/>
      <c r="F141" s="15"/>
      <c r="G141" s="25"/>
    </row>
    <row r="142" spans="1:7" ht="12.75" customHeight="1" hidden="1">
      <c r="A142" s="107" t="s">
        <v>590</v>
      </c>
      <c r="B142" s="13" t="s">
        <v>591</v>
      </c>
      <c r="C142" s="821">
        <v>6000</v>
      </c>
      <c r="E142" s="15"/>
      <c r="F142" s="15"/>
      <c r="G142" s="25"/>
    </row>
    <row r="143" spans="1:7" s="184" customFormat="1" ht="12.75" customHeight="1">
      <c r="A143" s="353" t="s">
        <v>125</v>
      </c>
      <c r="B143" s="26" t="s">
        <v>8</v>
      </c>
      <c r="C143" s="33">
        <f>SUM(C144:C147)</f>
        <v>3188300</v>
      </c>
      <c r="E143" s="106"/>
      <c r="F143" s="550"/>
      <c r="G143" s="543"/>
    </row>
    <row r="144" spans="1:7" s="107" customFormat="1" ht="12.75" customHeight="1" hidden="1">
      <c r="A144" s="107" t="s">
        <v>102</v>
      </c>
      <c r="B144" s="24" t="s">
        <v>8</v>
      </c>
      <c r="C144" s="821">
        <f>95400+54800+1280400+1710200+442600+585600-700000-360000</f>
        <v>3109000</v>
      </c>
      <c r="E144" s="13"/>
      <c r="F144" s="550"/>
      <c r="G144" s="548"/>
    </row>
    <row r="145" spans="1:7" s="107" customFormat="1" ht="12.75" customHeight="1" hidden="1">
      <c r="A145" s="107" t="s">
        <v>205</v>
      </c>
      <c r="B145" s="24" t="s">
        <v>54</v>
      </c>
      <c r="C145" s="821">
        <v>15300</v>
      </c>
      <c r="E145" s="543"/>
      <c r="F145" s="551"/>
      <c r="G145" s="539"/>
    </row>
    <row r="146" spans="1:7" s="5" customFormat="1" ht="13.5" hidden="1">
      <c r="A146" s="107" t="s">
        <v>266</v>
      </c>
      <c r="B146" s="13" t="s">
        <v>265</v>
      </c>
      <c r="C146" s="821">
        <v>55000</v>
      </c>
      <c r="E146" s="172"/>
      <c r="F146" s="172"/>
      <c r="G146" s="25"/>
    </row>
    <row r="147" spans="1:7" s="184" customFormat="1" ht="12.75" customHeight="1" hidden="1">
      <c r="A147" s="107" t="s">
        <v>100</v>
      </c>
      <c r="B147" s="24" t="s">
        <v>7</v>
      </c>
      <c r="C147" s="824">
        <v>9000</v>
      </c>
      <c r="E147" s="543"/>
      <c r="F147" s="551"/>
      <c r="G147" s="552"/>
    </row>
    <row r="148" spans="1:7" s="184" customFormat="1" ht="12.75" customHeight="1" thickBot="1">
      <c r="A148" s="107"/>
      <c r="B148" s="107"/>
      <c r="C148" s="137"/>
      <c r="D148" s="15"/>
      <c r="E148" s="543"/>
      <c r="F148" s="551"/>
      <c r="G148" s="515"/>
    </row>
    <row r="149" spans="1:7" s="184" customFormat="1" ht="12.75" customHeight="1" thickBot="1">
      <c r="A149" s="951" t="s">
        <v>4</v>
      </c>
      <c r="B149" s="952"/>
      <c r="C149" s="32">
        <f>C150+C152+C154</f>
        <v>38951</v>
      </c>
      <c r="D149" s="15"/>
      <c r="E149" s="543"/>
      <c r="F149" s="553"/>
      <c r="G149" s="515"/>
    </row>
    <row r="150" spans="1:7" s="180" customFormat="1" ht="12.75" customHeight="1">
      <c r="A150" s="353" t="s">
        <v>193</v>
      </c>
      <c r="B150" s="353" t="s">
        <v>192</v>
      </c>
      <c r="C150" s="34">
        <f>SUM(C151)</f>
        <v>1</v>
      </c>
      <c r="D150" s="554"/>
      <c r="G150" s="523"/>
    </row>
    <row r="151" spans="1:7" s="107" customFormat="1" ht="13.5" hidden="1">
      <c r="A151" s="107" t="s">
        <v>191</v>
      </c>
      <c r="B151" s="13" t="s">
        <v>190</v>
      </c>
      <c r="C151" s="821">
        <v>1</v>
      </c>
      <c r="D151" s="29"/>
      <c r="E151" s="523"/>
      <c r="F151" s="270"/>
      <c r="G151" s="520"/>
    </row>
    <row r="152" spans="1:7" s="107" customFormat="1" ht="13.5">
      <c r="A152" s="353" t="s">
        <v>126</v>
      </c>
      <c r="B152" s="353" t="s">
        <v>127</v>
      </c>
      <c r="C152" s="26">
        <f>SUM(C153)</f>
        <v>32450</v>
      </c>
      <c r="D152" s="29"/>
      <c r="E152" s="523"/>
      <c r="F152" s="270"/>
      <c r="G152" s="520"/>
    </row>
    <row r="153" spans="1:7" s="184" customFormat="1" ht="12.75" customHeight="1" hidden="1">
      <c r="A153" s="107" t="s">
        <v>101</v>
      </c>
      <c r="B153" s="107" t="s">
        <v>152</v>
      </c>
      <c r="C153" s="821">
        <v>32450</v>
      </c>
      <c r="D153" s="29" t="s">
        <v>1378</v>
      </c>
      <c r="E153" s="523"/>
      <c r="F153" s="270"/>
      <c r="G153" s="520"/>
    </row>
    <row r="154" spans="1:7" s="184" customFormat="1" ht="12.75" customHeight="1">
      <c r="A154" s="353" t="s">
        <v>188</v>
      </c>
      <c r="B154" s="26" t="s">
        <v>146</v>
      </c>
      <c r="C154" s="26">
        <f>SUM(C155)</f>
        <v>6500</v>
      </c>
      <c r="D154" s="29"/>
      <c r="E154" s="523"/>
      <c r="F154" s="270"/>
      <c r="G154" s="520"/>
    </row>
    <row r="155" spans="1:7" s="5" customFormat="1" ht="13.5" hidden="1">
      <c r="A155" s="107" t="s">
        <v>189</v>
      </c>
      <c r="B155" s="24" t="s">
        <v>56</v>
      </c>
      <c r="C155" s="821">
        <v>6500</v>
      </c>
      <c r="D155" s="19"/>
      <c r="E155" s="527"/>
      <c r="F155" s="1"/>
      <c r="G155" s="515"/>
    </row>
    <row r="156" spans="1:7" s="5" customFormat="1" ht="13.5">
      <c r="A156" s="107"/>
      <c r="B156" s="24"/>
      <c r="C156" s="24"/>
      <c r="D156" s="19"/>
      <c r="E156" s="527"/>
      <c r="F156" s="1"/>
      <c r="G156" s="515"/>
    </row>
    <row r="157" spans="1:7" s="5" customFormat="1" ht="13.5" thickBot="1">
      <c r="A157" s="3"/>
      <c r="B157" s="3"/>
      <c r="C157" s="19"/>
      <c r="D157" s="19"/>
      <c r="E157" s="19"/>
      <c r="F157" s="3"/>
      <c r="G157" s="515"/>
    </row>
    <row r="158" spans="1:7" s="5" customFormat="1" ht="12.75">
      <c r="A158" s="64" t="s">
        <v>592</v>
      </c>
      <c r="B158" s="221"/>
      <c r="C158" s="65"/>
      <c r="D158" s="67" t="s">
        <v>6</v>
      </c>
      <c r="E158" s="516" t="s">
        <v>593</v>
      </c>
      <c r="F158" s="3"/>
      <c r="G158" s="515"/>
    </row>
    <row r="159" spans="1:7" s="5" customFormat="1" ht="13.5" thickBot="1">
      <c r="A159" s="49"/>
      <c r="B159" s="205"/>
      <c r="C159" s="119"/>
      <c r="D159" s="121"/>
      <c r="E159" s="517"/>
      <c r="F159" s="3"/>
      <c r="G159" s="515"/>
    </row>
    <row r="160" spans="1:7" s="5" customFormat="1" ht="12.75">
      <c r="A160" s="45" t="s">
        <v>594</v>
      </c>
      <c r="B160" s="208"/>
      <c r="C160" s="172"/>
      <c r="D160" s="172"/>
      <c r="E160" s="450"/>
      <c r="F160" s="3"/>
      <c r="G160" s="515"/>
    </row>
    <row r="161" spans="1:7" s="5" customFormat="1" ht="12.75">
      <c r="A161" s="45" t="s">
        <v>595</v>
      </c>
      <c r="B161" s="208"/>
      <c r="C161" s="172"/>
      <c r="D161" s="172"/>
      <c r="E161" s="450"/>
      <c r="F161" s="3"/>
      <c r="G161" s="515"/>
    </row>
    <row r="162" spans="1:7" s="5" customFormat="1" ht="12.75">
      <c r="A162" s="45" t="s">
        <v>596</v>
      </c>
      <c r="B162" s="208"/>
      <c r="C162" s="172"/>
      <c r="D162" s="172"/>
      <c r="E162" s="450"/>
      <c r="F162" s="3"/>
      <c r="G162" s="515"/>
    </row>
    <row r="163" spans="1:7" s="5" customFormat="1" ht="13.5" thickBot="1">
      <c r="A163" s="49" t="s">
        <v>597</v>
      </c>
      <c r="B163" s="205"/>
      <c r="C163" s="119"/>
      <c r="D163" s="119"/>
      <c r="E163" s="452"/>
      <c r="F163" s="3"/>
      <c r="G163" s="515"/>
    </row>
    <row r="164" spans="1:7" s="5" customFormat="1" ht="13.5">
      <c r="A164" s="52" t="s">
        <v>1365</v>
      </c>
      <c r="B164" s="13"/>
      <c r="C164" s="25"/>
      <c r="D164" s="25"/>
      <c r="E164" s="453"/>
      <c r="F164" s="3"/>
      <c r="G164" s="515"/>
    </row>
    <row r="165" spans="1:7" s="5" customFormat="1" ht="13.5">
      <c r="A165" s="52" t="s">
        <v>598</v>
      </c>
      <c r="B165" s="13"/>
      <c r="C165" s="25"/>
      <c r="D165" s="25"/>
      <c r="E165" s="453"/>
      <c r="F165" s="3"/>
      <c r="G165" s="515"/>
    </row>
    <row r="166" spans="1:8" s="107" customFormat="1" ht="13.5" customHeight="1">
      <c r="A166" s="52" t="s">
        <v>1421</v>
      </c>
      <c r="B166" s="13"/>
      <c r="C166" s="25"/>
      <c r="D166" s="25"/>
      <c r="E166" s="453"/>
      <c r="F166" s="3"/>
      <c r="G166" s="515"/>
      <c r="H166" s="13"/>
    </row>
    <row r="167" spans="1:7" s="208" customFormat="1" ht="14.25" thickBot="1">
      <c r="A167" s="52" t="s">
        <v>16</v>
      </c>
      <c r="B167" s="13"/>
      <c r="C167" s="25"/>
      <c r="D167" s="25"/>
      <c r="E167" s="453"/>
      <c r="F167" s="3"/>
      <c r="G167" s="515"/>
    </row>
    <row r="168" spans="1:7" s="208" customFormat="1" ht="14.25" thickBot="1">
      <c r="A168" s="54" t="s">
        <v>17</v>
      </c>
      <c r="B168" s="192"/>
      <c r="C168" s="55"/>
      <c r="D168" s="191"/>
      <c r="E168" s="161">
        <f>+C170+C185+C206</f>
        <v>1648400</v>
      </c>
      <c r="F168" s="3"/>
      <c r="G168" s="128"/>
    </row>
    <row r="169" spans="1:7" s="208" customFormat="1" ht="14.25" thickBot="1">
      <c r="A169" s="12"/>
      <c r="B169" s="12"/>
      <c r="C169" s="33"/>
      <c r="D169" s="33"/>
      <c r="F169" s="522"/>
      <c r="G169" s="527"/>
    </row>
    <row r="170" spans="1:7" s="208" customFormat="1" ht="14.25" thickBot="1">
      <c r="A170" s="947" t="s">
        <v>2</v>
      </c>
      <c r="B170" s="948"/>
      <c r="C170" s="38">
        <f>+C173+C175+C177+C179+C181+C171</f>
        <v>277660</v>
      </c>
      <c r="D170" s="19"/>
      <c r="F170" s="522"/>
      <c r="G170" s="515"/>
    </row>
    <row r="171" spans="1:7" s="142" customFormat="1" ht="13.5" customHeight="1">
      <c r="A171" s="12" t="s">
        <v>113</v>
      </c>
      <c r="B171" s="404" t="s">
        <v>114</v>
      </c>
      <c r="C171" s="34">
        <f>SUM(C172)</f>
        <v>19860</v>
      </c>
      <c r="D171" s="526"/>
      <c r="F171" s="524"/>
      <c r="G171" s="527"/>
    </row>
    <row r="172" spans="1:8" s="107" customFormat="1" ht="13.5" customHeight="1" hidden="1">
      <c r="A172" s="13" t="s">
        <v>50</v>
      </c>
      <c r="B172" s="107" t="s">
        <v>49</v>
      </c>
      <c r="C172" s="821">
        <f>15600+4260</f>
        <v>19860</v>
      </c>
      <c r="E172" s="33"/>
      <c r="F172" s="13"/>
      <c r="G172" s="137"/>
      <c r="H172" s="13"/>
    </row>
    <row r="173" spans="1:7" s="208" customFormat="1" ht="13.5">
      <c r="A173" s="12" t="s">
        <v>115</v>
      </c>
      <c r="B173" s="353" t="s">
        <v>116</v>
      </c>
      <c r="C173" s="26">
        <f>SUM(C174)</f>
        <v>14000</v>
      </c>
      <c r="F173" s="524"/>
      <c r="G173" s="19"/>
    </row>
    <row r="174" spans="1:7" s="208" customFormat="1" ht="13.5" hidden="1">
      <c r="A174" s="13" t="s">
        <v>96</v>
      </c>
      <c r="B174" s="107" t="s">
        <v>71</v>
      </c>
      <c r="C174" s="821">
        <v>14000</v>
      </c>
      <c r="E174" s="19"/>
      <c r="F174" s="3"/>
      <c r="G174" s="19"/>
    </row>
    <row r="175" spans="1:7" s="208" customFormat="1" ht="13.5">
      <c r="A175" s="12" t="s">
        <v>117</v>
      </c>
      <c r="B175" s="353" t="s">
        <v>118</v>
      </c>
      <c r="C175" s="26">
        <f>SUM(C176)</f>
        <v>210100</v>
      </c>
      <c r="E175" s="19"/>
      <c r="F175" s="3"/>
      <c r="G175" s="19"/>
    </row>
    <row r="176" spans="1:7" s="208" customFormat="1" ht="13.5" hidden="1">
      <c r="A176" s="13" t="s">
        <v>51</v>
      </c>
      <c r="B176" s="24" t="s">
        <v>52</v>
      </c>
      <c r="C176" s="821">
        <v>210100</v>
      </c>
      <c r="E176" s="19"/>
      <c r="F176" s="3"/>
      <c r="G176" s="19"/>
    </row>
    <row r="177" spans="1:7" s="208" customFormat="1" ht="13.5">
      <c r="A177" s="353" t="s">
        <v>129</v>
      </c>
      <c r="B177" s="26" t="s">
        <v>119</v>
      </c>
      <c r="C177" s="33">
        <f>SUM(C178)</f>
        <v>10550</v>
      </c>
      <c r="E177" s="19"/>
      <c r="F177" s="3"/>
      <c r="G177" s="19"/>
    </row>
    <row r="178" spans="1:7" s="208" customFormat="1" ht="13.5" hidden="1">
      <c r="A178" s="107" t="s">
        <v>168</v>
      </c>
      <c r="B178" s="24" t="s">
        <v>74</v>
      </c>
      <c r="C178" s="821">
        <v>10550</v>
      </c>
      <c r="D178" s="19"/>
      <c r="E178" s="19"/>
      <c r="F178" s="3"/>
      <c r="G178" s="515"/>
    </row>
    <row r="179" spans="1:7" s="208" customFormat="1" ht="13.5">
      <c r="A179" s="353" t="s">
        <v>134</v>
      </c>
      <c r="B179" s="26" t="s">
        <v>133</v>
      </c>
      <c r="C179" s="26">
        <f>SUM(C180)</f>
        <v>7200</v>
      </c>
      <c r="D179" s="19"/>
      <c r="E179" s="19"/>
      <c r="F179" s="3"/>
      <c r="G179" s="515"/>
    </row>
    <row r="180" spans="1:12" s="208" customFormat="1" ht="13.5" hidden="1">
      <c r="A180" s="107" t="s">
        <v>103</v>
      </c>
      <c r="B180" s="24" t="s">
        <v>78</v>
      </c>
      <c r="C180" s="821">
        <v>7200</v>
      </c>
      <c r="D180" s="19"/>
      <c r="E180" s="19"/>
      <c r="F180" s="3"/>
      <c r="G180" s="515"/>
      <c r="H180" s="5"/>
      <c r="I180" s="5"/>
      <c r="J180" s="5"/>
      <c r="K180" s="5"/>
      <c r="L180" s="5"/>
    </row>
    <row r="181" spans="1:12" s="208" customFormat="1" ht="13.5">
      <c r="A181" s="353" t="s">
        <v>169</v>
      </c>
      <c r="B181" s="26" t="s">
        <v>135</v>
      </c>
      <c r="C181" s="26">
        <f>SUM(C182:C183)</f>
        <v>15950</v>
      </c>
      <c r="D181" s="19"/>
      <c r="E181" s="19"/>
      <c r="F181" s="3"/>
      <c r="G181" s="515"/>
      <c r="H181" s="5"/>
      <c r="I181" s="5"/>
      <c r="J181" s="5"/>
      <c r="K181" s="5"/>
      <c r="L181" s="5"/>
    </row>
    <row r="182" spans="1:7" s="5" customFormat="1" ht="13.5" hidden="1">
      <c r="A182" s="107" t="s">
        <v>170</v>
      </c>
      <c r="B182" s="24" t="s">
        <v>70</v>
      </c>
      <c r="C182" s="821">
        <v>8450</v>
      </c>
      <c r="D182" s="137"/>
      <c r="E182" s="26"/>
      <c r="F182" s="142"/>
      <c r="G182" s="137"/>
    </row>
    <row r="183" spans="1:7" s="5" customFormat="1" ht="13.5" hidden="1">
      <c r="A183" s="107" t="s">
        <v>173</v>
      </c>
      <c r="B183" s="24" t="s">
        <v>144</v>
      </c>
      <c r="C183" s="821">
        <v>7500</v>
      </c>
      <c r="D183" s="19"/>
      <c r="E183" s="19"/>
      <c r="F183" s="3"/>
      <c r="G183" s="515"/>
    </row>
    <row r="184" spans="1:7" s="5" customFormat="1" ht="14.25" thickBot="1">
      <c r="A184" s="107"/>
      <c r="B184" s="24"/>
      <c r="C184" s="24"/>
      <c r="D184" s="19"/>
      <c r="E184" s="19"/>
      <c r="F184" s="3"/>
      <c r="G184" s="515"/>
    </row>
    <row r="185" spans="1:7" s="5" customFormat="1" ht="14.25" thickBot="1">
      <c r="A185" s="949" t="s">
        <v>3</v>
      </c>
      <c r="B185" s="950"/>
      <c r="C185" s="36">
        <f>C186+C188+C190+C193+C198+C201</f>
        <v>1329390</v>
      </c>
      <c r="D185" s="19"/>
      <c r="E185" s="543"/>
      <c r="F185" s="3"/>
      <c r="G185" s="515"/>
    </row>
    <row r="186" spans="1:7" s="529" customFormat="1" ht="13.5">
      <c r="A186" s="12" t="s">
        <v>120</v>
      </c>
      <c r="B186" s="12" t="s">
        <v>121</v>
      </c>
      <c r="C186" s="34">
        <f>SUM(C187)</f>
        <v>14400</v>
      </c>
      <c r="D186" s="526"/>
      <c r="E186" s="555"/>
      <c r="F186" s="527"/>
      <c r="G186" s="527"/>
    </row>
    <row r="187" spans="1:7" s="5" customFormat="1" ht="13.5" hidden="1">
      <c r="A187" s="13" t="s">
        <v>57</v>
      </c>
      <c r="B187" s="13" t="s">
        <v>18</v>
      </c>
      <c r="C187" s="821">
        <v>14400</v>
      </c>
      <c r="D187" s="521"/>
      <c r="E187" s="28"/>
      <c r="F187" s="142"/>
      <c r="G187" s="137"/>
    </row>
    <row r="188" spans="1:7" s="5" customFormat="1" ht="13.5">
      <c r="A188" s="12" t="s">
        <v>130</v>
      </c>
      <c r="B188" s="26" t="s">
        <v>131</v>
      </c>
      <c r="C188" s="33">
        <f>SUM(C189)</f>
        <v>15500</v>
      </c>
      <c r="D188" s="521"/>
      <c r="E188" s="28"/>
      <c r="F188" s="142"/>
      <c r="G188" s="137"/>
    </row>
    <row r="189" spans="1:7" s="5" customFormat="1" ht="13.5" hidden="1">
      <c r="A189" s="13" t="s">
        <v>148</v>
      </c>
      <c r="B189" s="13" t="s">
        <v>77</v>
      </c>
      <c r="C189" s="821">
        <v>15500</v>
      </c>
      <c r="D189" s="15"/>
      <c r="E189" s="15"/>
      <c r="F189" s="3"/>
      <c r="G189" s="515"/>
    </row>
    <row r="190" spans="1:7" s="5" customFormat="1" ht="13.5">
      <c r="A190" s="353" t="s">
        <v>122</v>
      </c>
      <c r="B190" s="12" t="s">
        <v>175</v>
      </c>
      <c r="C190" s="33">
        <f>SUM(C191:C192)</f>
        <v>113600</v>
      </c>
      <c r="D190" s="15"/>
      <c r="E190" s="15"/>
      <c r="F190" s="3"/>
      <c r="G190" s="515"/>
    </row>
    <row r="191" spans="1:7" s="5" customFormat="1" ht="13.5" hidden="1">
      <c r="A191" s="107" t="s">
        <v>150</v>
      </c>
      <c r="B191" s="13" t="s">
        <v>149</v>
      </c>
      <c r="C191" s="821">
        <v>15500</v>
      </c>
      <c r="D191" s="33"/>
      <c r="E191" s="15"/>
      <c r="F191" s="15"/>
      <c r="G191" s="527"/>
    </row>
    <row r="192" spans="1:7" s="5" customFormat="1" ht="13.5" customHeight="1" hidden="1">
      <c r="A192" s="107" t="s">
        <v>53</v>
      </c>
      <c r="B192" s="24" t="s">
        <v>97</v>
      </c>
      <c r="C192" s="821">
        <f>128100-30000</f>
        <v>98100</v>
      </c>
      <c r="E192" s="15"/>
      <c r="F192" s="15"/>
      <c r="G192" s="25"/>
    </row>
    <row r="193" spans="1:7" s="5" customFormat="1" ht="13.5" customHeight="1">
      <c r="A193" s="353" t="s">
        <v>123</v>
      </c>
      <c r="B193" s="26" t="s">
        <v>124</v>
      </c>
      <c r="C193" s="33">
        <f>SUM(C194:C197)</f>
        <v>629340</v>
      </c>
      <c r="E193" s="15"/>
      <c r="F193" s="15"/>
      <c r="G193" s="25"/>
    </row>
    <row r="194" spans="1:7" s="5" customFormat="1" ht="13.5" hidden="1">
      <c r="A194" s="107" t="s">
        <v>184</v>
      </c>
      <c r="B194" s="13" t="s">
        <v>83</v>
      </c>
      <c r="C194" s="821">
        <f>181840+416000</f>
        <v>597840</v>
      </c>
      <c r="E194" s="15"/>
      <c r="F194" s="15"/>
      <c r="G194" s="25"/>
    </row>
    <row r="195" spans="1:7" s="5" customFormat="1" ht="13.5" hidden="1">
      <c r="A195" s="107" t="s">
        <v>84</v>
      </c>
      <c r="B195" s="107" t="s">
        <v>79</v>
      </c>
      <c r="C195" s="821">
        <v>6000</v>
      </c>
      <c r="E195" s="15"/>
      <c r="F195" s="15"/>
      <c r="G195" s="25"/>
    </row>
    <row r="196" spans="1:7" ht="14.25" customHeight="1" hidden="1">
      <c r="A196" s="107" t="s">
        <v>98</v>
      </c>
      <c r="B196" s="24" t="s">
        <v>69</v>
      </c>
      <c r="C196" s="821">
        <v>19500</v>
      </c>
      <c r="E196" s="15"/>
      <c r="F196" s="15"/>
      <c r="G196" s="25"/>
    </row>
    <row r="197" spans="1:7" s="107" customFormat="1" ht="12.75" customHeight="1" hidden="1">
      <c r="A197" s="107" t="s">
        <v>584</v>
      </c>
      <c r="B197" s="25" t="s">
        <v>585</v>
      </c>
      <c r="C197" s="821">
        <v>6000</v>
      </c>
      <c r="G197" s="549"/>
    </row>
    <row r="198" spans="1:7" ht="14.25" customHeight="1">
      <c r="A198" s="353" t="s">
        <v>586</v>
      </c>
      <c r="B198" s="26" t="s">
        <v>587</v>
      </c>
      <c r="C198" s="33">
        <f>SUM(C199:C200)</f>
        <v>459000</v>
      </c>
      <c r="E198" s="15"/>
      <c r="F198" s="15"/>
      <c r="G198" s="25"/>
    </row>
    <row r="199" spans="1:7" ht="13.5" customHeight="1" hidden="1">
      <c r="A199" s="107" t="s">
        <v>588</v>
      </c>
      <c r="B199" s="13" t="s">
        <v>589</v>
      </c>
      <c r="C199" s="821">
        <v>9000</v>
      </c>
      <c r="E199" s="15"/>
      <c r="F199" s="15"/>
      <c r="G199" s="19"/>
    </row>
    <row r="200" spans="1:7" ht="12.75" customHeight="1" hidden="1">
      <c r="A200" s="107" t="s">
        <v>590</v>
      </c>
      <c r="B200" s="13" t="s">
        <v>591</v>
      </c>
      <c r="C200" s="821">
        <v>450000</v>
      </c>
      <c r="E200" s="15"/>
      <c r="F200" s="15"/>
      <c r="G200" s="25"/>
    </row>
    <row r="201" spans="1:7" ht="12.75" customHeight="1">
      <c r="A201" s="353" t="s">
        <v>125</v>
      </c>
      <c r="B201" s="26" t="s">
        <v>8</v>
      </c>
      <c r="C201" s="33">
        <f>SUM(C202:C204)</f>
        <v>97550</v>
      </c>
      <c r="D201" s="25"/>
      <c r="E201" s="15"/>
      <c r="F201" s="15"/>
      <c r="G201" s="527"/>
    </row>
    <row r="202" spans="1:7" ht="12.75" customHeight="1" hidden="1">
      <c r="A202" s="107" t="s">
        <v>102</v>
      </c>
      <c r="B202" s="24" t="s">
        <v>8</v>
      </c>
      <c r="C202" s="821">
        <f>88200-20000</f>
        <v>68200</v>
      </c>
      <c r="D202" s="33"/>
      <c r="E202" s="15"/>
      <c r="F202" s="15"/>
      <c r="G202" s="515"/>
    </row>
    <row r="203" spans="1:7" ht="12.75" customHeight="1" hidden="1">
      <c r="A203" s="107" t="s">
        <v>104</v>
      </c>
      <c r="B203" s="24" t="s">
        <v>54</v>
      </c>
      <c r="C203" s="821">
        <v>15850</v>
      </c>
      <c r="E203" s="15"/>
      <c r="F203" s="15"/>
      <c r="G203" s="527"/>
    </row>
    <row r="204" spans="1:7" ht="12.75" customHeight="1" hidden="1">
      <c r="A204" s="107" t="s">
        <v>100</v>
      </c>
      <c r="B204" s="24" t="s">
        <v>7</v>
      </c>
      <c r="C204" s="821">
        <v>13500</v>
      </c>
      <c r="D204" s="28"/>
      <c r="E204" s="17"/>
      <c r="F204" s="15"/>
      <c r="G204" s="527"/>
    </row>
    <row r="205" spans="1:7" ht="12.75" customHeight="1" thickBot="1">
      <c r="A205" s="107"/>
      <c r="B205" s="24"/>
      <c r="C205" s="24"/>
      <c r="D205" s="299"/>
      <c r="E205" s="15"/>
      <c r="F205" s="15"/>
      <c r="G205" s="515"/>
    </row>
    <row r="206" spans="1:7" ht="12.75" customHeight="1" thickBot="1">
      <c r="A206" s="951" t="s">
        <v>4</v>
      </c>
      <c r="B206" s="952"/>
      <c r="C206" s="32">
        <f>C207+C209</f>
        <v>41350</v>
      </c>
      <c r="G206" s="515"/>
    </row>
    <row r="207" spans="1:5" s="527" customFormat="1" ht="12.75" customHeight="1">
      <c r="A207" s="353" t="s">
        <v>126</v>
      </c>
      <c r="B207" s="353" t="s">
        <v>127</v>
      </c>
      <c r="C207" s="33">
        <f>SUM(C208)</f>
        <v>30600</v>
      </c>
      <c r="D207" s="526"/>
      <c r="E207" s="526"/>
    </row>
    <row r="208" spans="1:7" ht="13.5" customHeight="1" hidden="1">
      <c r="A208" s="107" t="s">
        <v>101</v>
      </c>
      <c r="B208" s="107" t="s">
        <v>152</v>
      </c>
      <c r="C208" s="821">
        <v>30600</v>
      </c>
      <c r="D208" s="29"/>
      <c r="G208" s="515"/>
    </row>
    <row r="209" spans="1:7" ht="13.5" customHeight="1">
      <c r="A209" s="353" t="s">
        <v>188</v>
      </c>
      <c r="B209" s="26" t="s">
        <v>146</v>
      </c>
      <c r="C209" s="26">
        <f>SUM(C210)</f>
        <v>10750</v>
      </c>
      <c r="G209" s="515"/>
    </row>
    <row r="210" spans="1:7" ht="13.5" customHeight="1" hidden="1">
      <c r="A210" s="107" t="s">
        <v>189</v>
      </c>
      <c r="B210" s="24" t="s">
        <v>56</v>
      </c>
      <c r="C210" s="821">
        <v>10750</v>
      </c>
      <c r="G210" s="515"/>
    </row>
    <row r="211" ht="12.75" customHeight="1">
      <c r="G211" s="515"/>
    </row>
    <row r="212" spans="1:7" s="184" customFormat="1" ht="12.75" customHeight="1" thickBot="1">
      <c r="A212" s="3"/>
      <c r="B212" s="3"/>
      <c r="C212" s="19"/>
      <c r="D212" s="19"/>
      <c r="E212" s="19"/>
      <c r="F212" s="3"/>
      <c r="G212" s="515"/>
    </row>
    <row r="213" spans="1:7" s="184" customFormat="1" ht="12.75" customHeight="1">
      <c r="A213" s="64" t="s">
        <v>599</v>
      </c>
      <c r="B213" s="221"/>
      <c r="C213" s="65"/>
      <c r="D213" s="67" t="s">
        <v>6</v>
      </c>
      <c r="E213" s="516" t="s">
        <v>600</v>
      </c>
      <c r="F213" s="3"/>
      <c r="G213" s="515"/>
    </row>
    <row r="214" spans="1:7" s="184" customFormat="1" ht="12.75" customHeight="1" thickBot="1">
      <c r="A214" s="45"/>
      <c r="B214" s="208"/>
      <c r="C214" s="172"/>
      <c r="D214" s="447"/>
      <c r="E214" s="542"/>
      <c r="F214" s="3"/>
      <c r="G214" s="515"/>
    </row>
    <row r="215" spans="1:7" s="184" customFormat="1" ht="12.75" customHeight="1">
      <c r="A215" s="64" t="s">
        <v>601</v>
      </c>
      <c r="B215" s="221"/>
      <c r="C215" s="65"/>
      <c r="D215" s="65"/>
      <c r="E215" s="449"/>
      <c r="F215" s="3"/>
      <c r="G215" s="515"/>
    </row>
    <row r="216" spans="1:7" s="184" customFormat="1" ht="12.75" customHeight="1">
      <c r="A216" s="45" t="s">
        <v>602</v>
      </c>
      <c r="B216" s="208"/>
      <c r="C216" s="172"/>
      <c r="D216" s="172"/>
      <c r="E216" s="450"/>
      <c r="F216" s="3"/>
      <c r="G216" s="515"/>
    </row>
    <row r="217" spans="1:7" s="184" customFormat="1" ht="12.75" customHeight="1">
      <c r="A217" s="45" t="s">
        <v>603</v>
      </c>
      <c r="B217" s="208"/>
      <c r="C217" s="172"/>
      <c r="D217" s="172"/>
      <c r="E217" s="450"/>
      <c r="F217" s="3"/>
      <c r="G217" s="515"/>
    </row>
    <row r="218" spans="1:7" s="184" customFormat="1" ht="12.75" customHeight="1">
      <c r="A218" s="45" t="s">
        <v>604</v>
      </c>
      <c r="B218" s="208"/>
      <c r="C218" s="172"/>
      <c r="D218" s="172"/>
      <c r="E218" s="450"/>
      <c r="F218" s="3"/>
      <c r="G218" s="515"/>
    </row>
    <row r="219" spans="1:7" s="184" customFormat="1" ht="12.75" customHeight="1" thickBot="1">
      <c r="A219" s="49" t="s">
        <v>605</v>
      </c>
      <c r="B219" s="205"/>
      <c r="C219" s="119"/>
      <c r="D219" s="119"/>
      <c r="E219" s="452"/>
      <c r="F219" s="3"/>
      <c r="G219" s="515"/>
    </row>
    <row r="220" spans="1:7" s="5" customFormat="1" ht="13.5">
      <c r="A220" s="52" t="s">
        <v>1365</v>
      </c>
      <c r="B220" s="13"/>
      <c r="C220" s="25"/>
      <c r="D220" s="25"/>
      <c r="E220" s="453"/>
      <c r="F220" s="3"/>
      <c r="G220" s="515"/>
    </row>
    <row r="221" spans="1:7" s="5" customFormat="1" ht="13.5">
      <c r="A221" s="52" t="s">
        <v>606</v>
      </c>
      <c r="B221" s="13"/>
      <c r="C221" s="25"/>
      <c r="D221" s="25"/>
      <c r="E221" s="453"/>
      <c r="F221" s="3"/>
      <c r="G221" s="515"/>
    </row>
    <row r="222" spans="1:7" s="5" customFormat="1" ht="13.5">
      <c r="A222" s="52" t="s">
        <v>1421</v>
      </c>
      <c r="B222" s="13"/>
      <c r="C222" s="25"/>
      <c r="D222" s="25"/>
      <c r="E222" s="453"/>
      <c r="F222" s="3"/>
      <c r="G222" s="515"/>
    </row>
    <row r="223" spans="1:7" s="5" customFormat="1" ht="14.25" thickBot="1">
      <c r="A223" s="111" t="s">
        <v>16</v>
      </c>
      <c r="B223" s="196"/>
      <c r="C223" s="556"/>
      <c r="D223" s="556"/>
      <c r="E223" s="557"/>
      <c r="F223" s="3"/>
      <c r="G223" s="515"/>
    </row>
    <row r="224" spans="1:7" s="5" customFormat="1" ht="14.25" thickBot="1">
      <c r="A224" s="54" t="s">
        <v>17</v>
      </c>
      <c r="B224" s="192"/>
      <c r="C224" s="55"/>
      <c r="D224" s="191"/>
      <c r="E224" s="161">
        <f>C226+C241+C263</f>
        <v>2910820</v>
      </c>
      <c r="F224" s="3"/>
      <c r="G224" s="128"/>
    </row>
    <row r="225" spans="1:7" s="5" customFormat="1" ht="14.25" thickBot="1">
      <c r="A225" s="12"/>
      <c r="B225" s="12"/>
      <c r="C225" s="33"/>
      <c r="D225" s="33"/>
      <c r="F225" s="522"/>
      <c r="G225" s="515"/>
    </row>
    <row r="226" spans="1:7" s="5" customFormat="1" ht="14.25" thickBot="1">
      <c r="A226" s="947" t="s">
        <v>2</v>
      </c>
      <c r="B226" s="948"/>
      <c r="C226" s="38">
        <f>+C229+C231+C233+C235+C237+C227</f>
        <v>92200</v>
      </c>
      <c r="D226" s="22"/>
      <c r="F226" s="522"/>
      <c r="G226" s="515"/>
    </row>
    <row r="227" spans="1:7" s="142" customFormat="1" ht="13.5" customHeight="1">
      <c r="A227" s="12" t="s">
        <v>113</v>
      </c>
      <c r="B227" s="404" t="s">
        <v>114</v>
      </c>
      <c r="C227" s="34">
        <f>SUM(C228)</f>
        <v>8100</v>
      </c>
      <c r="D227" s="526"/>
      <c r="G227" s="527"/>
    </row>
    <row r="228" spans="1:8" s="107" customFormat="1" ht="13.5" customHeight="1" hidden="1">
      <c r="A228" s="13" t="s">
        <v>50</v>
      </c>
      <c r="B228" s="107" t="s">
        <v>49</v>
      </c>
      <c r="C228" s="821">
        <v>8100</v>
      </c>
      <c r="D228" s="137"/>
      <c r="F228" s="33"/>
      <c r="G228" s="137"/>
      <c r="H228" s="13"/>
    </row>
    <row r="229" spans="1:7" s="5" customFormat="1" ht="13.5">
      <c r="A229" s="12" t="s">
        <v>115</v>
      </c>
      <c r="B229" s="353" t="s">
        <v>116</v>
      </c>
      <c r="C229" s="26">
        <f>SUM(C230)</f>
        <v>4500</v>
      </c>
      <c r="D229" s="22"/>
      <c r="F229" s="524"/>
      <c r="G229" s="515"/>
    </row>
    <row r="230" spans="1:7" s="5" customFormat="1" ht="13.5" hidden="1">
      <c r="A230" s="13" t="s">
        <v>96</v>
      </c>
      <c r="B230" s="107" t="s">
        <v>71</v>
      </c>
      <c r="C230" s="821">
        <v>4500</v>
      </c>
      <c r="D230" s="22"/>
      <c r="E230" s="19"/>
      <c r="F230" s="3"/>
      <c r="G230" s="515"/>
    </row>
    <row r="231" spans="1:7" s="5" customFormat="1" ht="13.5">
      <c r="A231" s="12" t="s">
        <v>117</v>
      </c>
      <c r="B231" s="353" t="s">
        <v>118</v>
      </c>
      <c r="C231" s="26">
        <f>SUM(C232)</f>
        <v>48800</v>
      </c>
      <c r="D231" s="22"/>
      <c r="E231" s="19"/>
      <c r="F231" s="3"/>
      <c r="G231" s="515"/>
    </row>
    <row r="232" spans="1:7" s="5" customFormat="1" ht="13.5" hidden="1">
      <c r="A232" s="13" t="s">
        <v>51</v>
      </c>
      <c r="B232" s="24" t="s">
        <v>52</v>
      </c>
      <c r="C232" s="821">
        <v>48800</v>
      </c>
      <c r="D232" s="22"/>
      <c r="E232" s="19"/>
      <c r="F232" s="3"/>
      <c r="G232" s="515"/>
    </row>
    <row r="233" spans="1:7" s="5" customFormat="1" ht="13.5">
      <c r="A233" s="353" t="s">
        <v>129</v>
      </c>
      <c r="B233" s="26" t="s">
        <v>119</v>
      </c>
      <c r="C233" s="33">
        <f>SUM(C234)</f>
        <v>4800</v>
      </c>
      <c r="D233" s="22"/>
      <c r="E233" s="19"/>
      <c r="F233" s="3"/>
      <c r="G233" s="515"/>
    </row>
    <row r="234" spans="1:7" s="5" customFormat="1" ht="13.5" hidden="1">
      <c r="A234" s="107" t="s">
        <v>168</v>
      </c>
      <c r="B234" s="24" t="s">
        <v>74</v>
      </c>
      <c r="C234" s="821">
        <v>4800</v>
      </c>
      <c r="D234" s="22"/>
      <c r="E234" s="19"/>
      <c r="F234" s="3"/>
      <c r="G234" s="515"/>
    </row>
    <row r="235" spans="1:7" s="5" customFormat="1" ht="13.5">
      <c r="A235" s="353" t="s">
        <v>134</v>
      </c>
      <c r="B235" s="26" t="s">
        <v>133</v>
      </c>
      <c r="C235" s="26">
        <f>SUM(C236)</f>
        <v>14500</v>
      </c>
      <c r="D235" s="22"/>
      <c r="E235" s="19"/>
      <c r="F235" s="3"/>
      <c r="G235" s="515"/>
    </row>
    <row r="236" spans="1:12" s="5" customFormat="1" ht="13.5" hidden="1">
      <c r="A236" s="107" t="s">
        <v>103</v>
      </c>
      <c r="B236" s="24" t="s">
        <v>78</v>
      </c>
      <c r="C236" s="821">
        <v>14500</v>
      </c>
      <c r="D236" s="22"/>
      <c r="E236" s="19"/>
      <c r="F236" s="3"/>
      <c r="G236" s="515"/>
      <c r="H236" s="13"/>
      <c r="I236" s="107"/>
      <c r="J236" s="107"/>
      <c r="K236" s="107"/>
      <c r="L236" s="107"/>
    </row>
    <row r="237" spans="1:12" s="5" customFormat="1" ht="13.5">
      <c r="A237" s="353" t="s">
        <v>169</v>
      </c>
      <c r="B237" s="26" t="s">
        <v>135</v>
      </c>
      <c r="C237" s="26">
        <f>SUM(C238:C239)</f>
        <v>11500</v>
      </c>
      <c r="D237" s="22"/>
      <c r="E237" s="19"/>
      <c r="F237" s="3"/>
      <c r="G237" s="515"/>
      <c r="H237" s="13"/>
      <c r="I237" s="107"/>
      <c r="J237" s="107"/>
      <c r="K237" s="107"/>
      <c r="L237" s="107"/>
    </row>
    <row r="238" spans="1:7" s="5" customFormat="1" ht="13.5" hidden="1">
      <c r="A238" s="107" t="s">
        <v>170</v>
      </c>
      <c r="B238" s="24" t="s">
        <v>70</v>
      </c>
      <c r="C238" s="821">
        <v>5000</v>
      </c>
      <c r="D238" s="137"/>
      <c r="E238" s="26"/>
      <c r="F238" s="142"/>
      <c r="G238" s="137"/>
    </row>
    <row r="239" spans="1:7" s="208" customFormat="1" ht="13.5" hidden="1">
      <c r="A239" s="107" t="s">
        <v>173</v>
      </c>
      <c r="B239" s="24" t="s">
        <v>144</v>
      </c>
      <c r="C239" s="821">
        <v>6500</v>
      </c>
      <c r="D239" s="22"/>
      <c r="E239" s="19"/>
      <c r="F239" s="3"/>
      <c r="G239" s="515"/>
    </row>
    <row r="240" spans="1:7" s="208" customFormat="1" ht="14.25" thickBot="1">
      <c r="A240" s="107"/>
      <c r="B240" s="24"/>
      <c r="C240" s="24"/>
      <c r="D240" s="22"/>
      <c r="E240" s="19"/>
      <c r="F240" s="3"/>
      <c r="G240" s="515"/>
    </row>
    <row r="241" spans="1:7" s="208" customFormat="1" ht="14.25" thickBot="1">
      <c r="A241" s="949" t="s">
        <v>3</v>
      </c>
      <c r="B241" s="950"/>
      <c r="C241" s="36">
        <f>C242+C244+C246+C249+C254+C258</f>
        <v>2764870</v>
      </c>
      <c r="D241" s="22"/>
      <c r="E241" s="19"/>
      <c r="F241" s="3"/>
      <c r="G241" s="515"/>
    </row>
    <row r="242" spans="1:7" s="529" customFormat="1" ht="13.5">
      <c r="A242" s="12" t="s">
        <v>120</v>
      </c>
      <c r="B242" s="12" t="s">
        <v>121</v>
      </c>
      <c r="C242" s="34">
        <f>SUM(C243)</f>
        <v>15600</v>
      </c>
      <c r="D242" s="321"/>
      <c r="E242" s="526"/>
      <c r="F242" s="527"/>
      <c r="G242" s="527"/>
    </row>
    <row r="243" spans="1:7" s="208" customFormat="1" ht="13.5" hidden="1">
      <c r="A243" s="13" t="s">
        <v>57</v>
      </c>
      <c r="B243" s="13" t="s">
        <v>18</v>
      </c>
      <c r="C243" s="821">
        <f>15600</f>
        <v>15600</v>
      </c>
      <c r="E243" s="28"/>
      <c r="F243" s="142"/>
      <c r="G243" s="116"/>
    </row>
    <row r="244" spans="1:7" s="208" customFormat="1" ht="13.5">
      <c r="A244" s="12" t="s">
        <v>130</v>
      </c>
      <c r="B244" s="26" t="s">
        <v>131</v>
      </c>
      <c r="C244" s="33">
        <f>SUM(C245)</f>
        <v>19300</v>
      </c>
      <c r="E244" s="28"/>
      <c r="F244" s="142"/>
      <c r="G244" s="116"/>
    </row>
    <row r="245" spans="1:7" s="208" customFormat="1" ht="13.5" hidden="1">
      <c r="A245" s="13" t="s">
        <v>148</v>
      </c>
      <c r="B245" s="13" t="s">
        <v>77</v>
      </c>
      <c r="C245" s="821">
        <v>19300</v>
      </c>
      <c r="E245" s="15"/>
      <c r="F245" s="3"/>
      <c r="G245" s="172"/>
    </row>
    <row r="246" spans="1:7" s="208" customFormat="1" ht="13.5">
      <c r="A246" s="353" t="s">
        <v>122</v>
      </c>
      <c r="B246" s="12" t="s">
        <v>175</v>
      </c>
      <c r="C246" s="33">
        <f>SUM(C247:C248)</f>
        <v>92500</v>
      </c>
      <c r="E246" s="15"/>
      <c r="F246" s="3"/>
      <c r="G246" s="172"/>
    </row>
    <row r="247" spans="1:7" s="208" customFormat="1" ht="13.5" hidden="1">
      <c r="A247" s="107" t="s">
        <v>150</v>
      </c>
      <c r="B247" s="13" t="s">
        <v>149</v>
      </c>
      <c r="C247" s="821">
        <f>9000+3500</f>
        <v>12500</v>
      </c>
      <c r="E247" s="15"/>
      <c r="F247" s="15"/>
      <c r="G247" s="33"/>
    </row>
    <row r="248" spans="1:7" s="208" customFormat="1" ht="13.5" hidden="1">
      <c r="A248" s="107" t="s">
        <v>53</v>
      </c>
      <c r="B248" s="24" t="s">
        <v>97</v>
      </c>
      <c r="C248" s="821">
        <f>110000-30000</f>
        <v>80000</v>
      </c>
      <c r="E248" s="15"/>
      <c r="F248" s="15"/>
      <c r="G248" s="25"/>
    </row>
    <row r="249" spans="1:7" s="208" customFormat="1" ht="13.5">
      <c r="A249" s="353" t="s">
        <v>123</v>
      </c>
      <c r="B249" s="26" t="s">
        <v>124</v>
      </c>
      <c r="C249" s="33">
        <f>SUM(C250:C253)</f>
        <v>2098970</v>
      </c>
      <c r="E249" s="15"/>
      <c r="F249" s="15"/>
      <c r="G249" s="25"/>
    </row>
    <row r="250" spans="1:7" s="208" customFormat="1" ht="13.5" hidden="1">
      <c r="A250" s="13" t="s">
        <v>607</v>
      </c>
      <c r="B250" s="107" t="s">
        <v>608</v>
      </c>
      <c r="C250" s="821">
        <f>156800*1.15</f>
        <v>180320</v>
      </c>
      <c r="E250" s="19"/>
      <c r="F250" s="3"/>
      <c r="G250" s="22"/>
    </row>
    <row r="251" spans="1:12" s="208" customFormat="1" ht="13.5" hidden="1">
      <c r="A251" s="13" t="s">
        <v>609</v>
      </c>
      <c r="B251" s="107" t="s">
        <v>610</v>
      </c>
      <c r="C251" s="821">
        <f>1930000*1.15-100000-250000</f>
        <v>1869500</v>
      </c>
      <c r="E251" s="19"/>
      <c r="F251" s="3"/>
      <c r="G251" s="22"/>
      <c r="H251" s="5"/>
      <c r="I251" s="5"/>
      <c r="J251" s="5"/>
      <c r="K251" s="5"/>
      <c r="L251" s="5"/>
    </row>
    <row r="252" spans="1:7" s="208" customFormat="1" ht="13.5" hidden="1">
      <c r="A252" s="107" t="s">
        <v>98</v>
      </c>
      <c r="B252" s="24" t="s">
        <v>69</v>
      </c>
      <c r="C252" s="821">
        <v>8950</v>
      </c>
      <c r="E252" s="15"/>
      <c r="F252" s="15"/>
      <c r="G252" s="25"/>
    </row>
    <row r="253" spans="1:7" s="107" customFormat="1" ht="12.75" customHeight="1" hidden="1">
      <c r="A253" s="107" t="s">
        <v>584</v>
      </c>
      <c r="B253" s="25" t="s">
        <v>585</v>
      </c>
      <c r="C253" s="821">
        <v>40200</v>
      </c>
      <c r="G253" s="549"/>
    </row>
    <row r="254" spans="1:7" ht="14.25" customHeight="1">
      <c r="A254" s="353" t="s">
        <v>586</v>
      </c>
      <c r="B254" s="26" t="s">
        <v>587</v>
      </c>
      <c r="C254" s="33">
        <f>SUM(C255:C257)</f>
        <v>13500</v>
      </c>
      <c r="E254" s="15"/>
      <c r="F254" s="15"/>
      <c r="G254" s="25"/>
    </row>
    <row r="255" spans="1:7" ht="13.5" customHeight="1" hidden="1">
      <c r="A255" s="107" t="s">
        <v>588</v>
      </c>
      <c r="B255" s="13" t="s">
        <v>589</v>
      </c>
      <c r="C255" s="821">
        <v>3000</v>
      </c>
      <c r="E255" s="15"/>
      <c r="F255" s="15"/>
      <c r="G255" s="25"/>
    </row>
    <row r="256" spans="1:7" ht="12.75" customHeight="1" hidden="1">
      <c r="A256" s="107" t="s">
        <v>590</v>
      </c>
      <c r="B256" s="13" t="s">
        <v>591</v>
      </c>
      <c r="C256" s="821">
        <v>2500</v>
      </c>
      <c r="E256" s="15"/>
      <c r="F256" s="15"/>
      <c r="G256" s="25"/>
    </row>
    <row r="257" spans="1:7" ht="12.75" customHeight="1" hidden="1">
      <c r="A257" s="107" t="s">
        <v>1171</v>
      </c>
      <c r="B257" s="57" t="s">
        <v>1170</v>
      </c>
      <c r="C257" s="821">
        <v>8000</v>
      </c>
      <c r="E257" s="15"/>
      <c r="F257" s="15"/>
      <c r="G257" s="25"/>
    </row>
    <row r="258" spans="1:7" s="208" customFormat="1" ht="13.5">
      <c r="A258" s="353" t="s">
        <v>125</v>
      </c>
      <c r="B258" s="26" t="s">
        <v>8</v>
      </c>
      <c r="C258" s="33">
        <f>SUM(C259:C261)</f>
        <v>525000</v>
      </c>
      <c r="E258" s="15"/>
      <c r="F258" s="15"/>
      <c r="G258" s="25"/>
    </row>
    <row r="259" spans="1:7" s="208" customFormat="1" ht="13.5" hidden="1">
      <c r="A259" s="107" t="s">
        <v>99</v>
      </c>
      <c r="B259" s="24" t="s">
        <v>8</v>
      </c>
      <c r="C259" s="821">
        <f>460000+97000-50000</f>
        <v>507000</v>
      </c>
      <c r="E259" s="15"/>
      <c r="F259" s="15"/>
      <c r="G259" s="25"/>
    </row>
    <row r="260" spans="1:7" s="208" customFormat="1" ht="13.5" hidden="1">
      <c r="A260" s="107" t="s">
        <v>205</v>
      </c>
      <c r="B260" s="24" t="s">
        <v>54</v>
      </c>
      <c r="C260" s="821">
        <v>7500</v>
      </c>
      <c r="D260" s="33"/>
      <c r="E260" s="15"/>
      <c r="F260" s="15"/>
      <c r="G260" s="527"/>
    </row>
    <row r="261" spans="1:12" s="5" customFormat="1" ht="13.5" hidden="1">
      <c r="A261" s="107" t="s">
        <v>100</v>
      </c>
      <c r="B261" s="24" t="s">
        <v>7</v>
      </c>
      <c r="C261" s="821">
        <v>10500</v>
      </c>
      <c r="D261" s="26"/>
      <c r="E261" s="17"/>
      <c r="F261" s="15"/>
      <c r="G261" s="527"/>
      <c r="H261" s="208"/>
      <c r="I261" s="208"/>
      <c r="J261" s="208"/>
      <c r="K261" s="208"/>
      <c r="L261" s="208"/>
    </row>
    <row r="262" spans="1:7" s="5" customFormat="1" ht="14.25" thickBot="1">
      <c r="A262" s="13"/>
      <c r="B262" s="107"/>
      <c r="C262" s="24"/>
      <c r="D262" s="22"/>
      <c r="E262" s="19"/>
      <c r="F262" s="3"/>
      <c r="G262" s="515"/>
    </row>
    <row r="263" spans="1:7" s="5" customFormat="1" ht="14.25" thickBot="1">
      <c r="A263" s="951" t="s">
        <v>4</v>
      </c>
      <c r="B263" s="952"/>
      <c r="C263" s="32">
        <f>C264+C266+C268+C270</f>
        <v>53750</v>
      </c>
      <c r="D263" s="22"/>
      <c r="E263" s="19"/>
      <c r="F263" s="3"/>
      <c r="G263" s="515"/>
    </row>
    <row r="264" spans="1:7" s="529" customFormat="1" ht="13.5">
      <c r="A264" s="353" t="s">
        <v>201</v>
      </c>
      <c r="B264" s="404" t="s">
        <v>200</v>
      </c>
      <c r="C264" s="34">
        <f>SUM(C265)</f>
        <v>23500</v>
      </c>
      <c r="D264" s="321"/>
      <c r="E264" s="526"/>
      <c r="F264" s="527"/>
      <c r="G264" s="527"/>
    </row>
    <row r="265" spans="1:7" s="5" customFormat="1" ht="13.5" hidden="1">
      <c r="A265" s="107" t="s">
        <v>199</v>
      </c>
      <c r="B265" s="107" t="s">
        <v>611</v>
      </c>
      <c r="C265" s="821">
        <v>23500</v>
      </c>
      <c r="D265" s="24"/>
      <c r="E265" s="19"/>
      <c r="F265" s="3"/>
      <c r="G265" s="515"/>
    </row>
    <row r="266" spans="1:7" s="5" customFormat="1" ht="13.5">
      <c r="A266" s="353" t="s">
        <v>126</v>
      </c>
      <c r="B266" s="353" t="s">
        <v>127</v>
      </c>
      <c r="C266" s="26">
        <f>SUM(C267)</f>
        <v>10750</v>
      </c>
      <c r="D266" s="24"/>
      <c r="E266" s="19"/>
      <c r="F266" s="3"/>
      <c r="G266" s="515"/>
    </row>
    <row r="267" spans="1:7" s="5" customFormat="1" ht="13.5" hidden="1">
      <c r="A267" s="107" t="s">
        <v>101</v>
      </c>
      <c r="B267" s="107" t="s">
        <v>152</v>
      </c>
      <c r="C267" s="821">
        <f>13550-2800</f>
        <v>10750</v>
      </c>
      <c r="D267" s="22"/>
      <c r="E267" s="19"/>
      <c r="F267" s="3"/>
      <c r="G267" s="515"/>
    </row>
    <row r="268" spans="1:7" s="5" customFormat="1" ht="13.5">
      <c r="A268" s="353" t="s">
        <v>142</v>
      </c>
      <c r="B268" s="353" t="s">
        <v>371</v>
      </c>
      <c r="C268" s="26">
        <f>SUM(C269)</f>
        <v>15500</v>
      </c>
      <c r="D268" s="22"/>
      <c r="E268" s="19"/>
      <c r="F268" s="3"/>
      <c r="G268" s="515"/>
    </row>
    <row r="269" spans="1:7" s="5" customFormat="1" ht="13.5" hidden="1">
      <c r="A269" s="107" t="s">
        <v>185</v>
      </c>
      <c r="B269" s="107" t="s">
        <v>371</v>
      </c>
      <c r="C269" s="821">
        <v>15500</v>
      </c>
      <c r="D269" s="22"/>
      <c r="E269" s="19"/>
      <c r="F269" s="3"/>
      <c r="G269" s="515"/>
    </row>
    <row r="270" spans="1:7" s="5" customFormat="1" ht="13.5">
      <c r="A270" s="353" t="s">
        <v>188</v>
      </c>
      <c r="B270" s="26" t="s">
        <v>146</v>
      </c>
      <c r="C270" s="26">
        <f>SUM(C271)</f>
        <v>4000</v>
      </c>
      <c r="D270" s="22"/>
      <c r="E270" s="19"/>
      <c r="F270" s="3"/>
      <c r="G270" s="515"/>
    </row>
    <row r="271" spans="1:7" s="5" customFormat="1" ht="13.5" customHeight="1" hidden="1">
      <c r="A271" s="107" t="s">
        <v>189</v>
      </c>
      <c r="B271" s="24" t="s">
        <v>56</v>
      </c>
      <c r="C271" s="821">
        <f>8500-4500</f>
        <v>4000</v>
      </c>
      <c r="D271" s="22"/>
      <c r="E271" s="19"/>
      <c r="F271" s="3"/>
      <c r="G271" s="515"/>
    </row>
    <row r="272" spans="1:7" s="5" customFormat="1" ht="13.5" customHeight="1">
      <c r="A272" s="107"/>
      <c r="B272" s="107"/>
      <c r="C272" s="24"/>
      <c r="D272" s="24"/>
      <c r="E272" s="19"/>
      <c r="F272" s="3"/>
      <c r="G272" s="515"/>
    </row>
    <row r="273" spans="1:7" s="5" customFormat="1" ht="13.5" thickBot="1">
      <c r="A273" s="3"/>
      <c r="B273" s="3"/>
      <c r="C273" s="19"/>
      <c r="D273" s="19"/>
      <c r="E273" s="19"/>
      <c r="F273" s="3"/>
      <c r="G273" s="515"/>
    </row>
    <row r="274" spans="1:7" s="5" customFormat="1" ht="12.75">
      <c r="A274" s="64" t="s">
        <v>612</v>
      </c>
      <c r="B274" s="221"/>
      <c r="C274" s="65"/>
      <c r="D274" s="67" t="s">
        <v>6</v>
      </c>
      <c r="E274" s="516" t="s">
        <v>613</v>
      </c>
      <c r="F274" s="3"/>
      <c r="G274" s="515"/>
    </row>
    <row r="275" spans="1:7" s="5" customFormat="1" ht="13.5" thickBot="1">
      <c r="A275" s="49"/>
      <c r="B275" s="205"/>
      <c r="C275" s="119"/>
      <c r="D275" s="121"/>
      <c r="E275" s="517"/>
      <c r="F275" s="3"/>
      <c r="G275" s="515"/>
    </row>
    <row r="276" spans="1:7" ht="12.75" customHeight="1">
      <c r="A276" s="45" t="s">
        <v>614</v>
      </c>
      <c r="B276" s="208"/>
      <c r="C276" s="172"/>
      <c r="D276" s="172"/>
      <c r="E276" s="450"/>
      <c r="G276" s="515"/>
    </row>
    <row r="277" spans="1:7" ht="12.75" customHeight="1">
      <c r="A277" s="45" t="s">
        <v>615</v>
      </c>
      <c r="B277" s="208"/>
      <c r="C277" s="172"/>
      <c r="D277" s="172"/>
      <c r="E277" s="450"/>
      <c r="G277" s="515"/>
    </row>
    <row r="278" spans="1:7" ht="12.75" customHeight="1">
      <c r="A278" s="45" t="s">
        <v>616</v>
      </c>
      <c r="B278" s="208"/>
      <c r="C278" s="172"/>
      <c r="D278" s="172"/>
      <c r="E278" s="450"/>
      <c r="G278" s="515"/>
    </row>
    <row r="279" spans="1:7" ht="12.75" customHeight="1">
      <c r="A279" s="45" t="s">
        <v>617</v>
      </c>
      <c r="B279" s="208"/>
      <c r="C279" s="172"/>
      <c r="D279" s="172"/>
      <c r="E279" s="450"/>
      <c r="G279" s="515"/>
    </row>
    <row r="280" spans="1:7" ht="12.75" customHeight="1" thickBot="1">
      <c r="A280" s="49" t="s">
        <v>618</v>
      </c>
      <c r="B280" s="205"/>
      <c r="C280" s="119"/>
      <c r="D280" s="119"/>
      <c r="E280" s="452"/>
      <c r="G280" s="515"/>
    </row>
    <row r="281" spans="1:7" ht="12.75" customHeight="1">
      <c r="A281" s="52" t="s">
        <v>1365</v>
      </c>
      <c r="B281" s="13"/>
      <c r="C281" s="25"/>
      <c r="D281" s="25"/>
      <c r="E281" s="453"/>
      <c r="G281" s="515"/>
    </row>
    <row r="282" spans="1:7" ht="12.75" customHeight="1">
      <c r="A282" s="52" t="s">
        <v>619</v>
      </c>
      <c r="B282" s="13"/>
      <c r="C282" s="25"/>
      <c r="D282" s="25"/>
      <c r="E282" s="453"/>
      <c r="F282" s="1"/>
      <c r="G282" s="527"/>
    </row>
    <row r="283" spans="1:7" ht="13.5" customHeight="1">
      <c r="A283" s="52" t="s">
        <v>1421</v>
      </c>
      <c r="B283" s="13"/>
      <c r="C283" s="25"/>
      <c r="D283" s="25"/>
      <c r="E283" s="453"/>
      <c r="G283" s="515"/>
    </row>
    <row r="284" spans="1:7" ht="13.5" customHeight="1" thickBot="1">
      <c r="A284" s="111" t="s">
        <v>16</v>
      </c>
      <c r="B284" s="196"/>
      <c r="C284" s="556"/>
      <c r="D284" s="556"/>
      <c r="E284" s="557"/>
      <c r="G284" s="515"/>
    </row>
    <row r="285" spans="1:7" ht="13.5" customHeight="1" thickBot="1">
      <c r="A285" s="54" t="s">
        <v>17</v>
      </c>
      <c r="B285" s="192"/>
      <c r="C285" s="55"/>
      <c r="D285" s="191"/>
      <c r="E285" s="161">
        <f>+C287+C303+C318</f>
        <v>6455435</v>
      </c>
      <c r="G285" s="128"/>
    </row>
    <row r="286" spans="1:7" ht="13.5" customHeight="1" thickBot="1">
      <c r="A286" s="12"/>
      <c r="B286" s="12"/>
      <c r="C286" s="33"/>
      <c r="D286" s="33"/>
      <c r="E286" s="3"/>
      <c r="F286" s="522"/>
      <c r="G286" s="515"/>
    </row>
    <row r="287" spans="1:7" ht="14.25" customHeight="1" thickBot="1">
      <c r="A287" s="947" t="s">
        <v>2</v>
      </c>
      <c r="B287" s="948"/>
      <c r="C287" s="38">
        <f>C288+C290+C292+C296+C299</f>
        <v>358290</v>
      </c>
      <c r="E287" s="3"/>
      <c r="F287" s="522"/>
      <c r="G287" s="515"/>
    </row>
    <row r="288" spans="1:6" s="527" customFormat="1" ht="14.25" customHeight="1">
      <c r="A288" s="12" t="s">
        <v>117</v>
      </c>
      <c r="B288" s="353" t="s">
        <v>118</v>
      </c>
      <c r="C288" s="34">
        <f>SUM(C289)</f>
        <v>11040</v>
      </c>
      <c r="D288" s="526"/>
      <c r="F288" s="524"/>
    </row>
    <row r="289" spans="1:7" s="5" customFormat="1" ht="14.25" customHeight="1" hidden="1">
      <c r="A289" s="13" t="s">
        <v>51</v>
      </c>
      <c r="B289" s="24" t="s">
        <v>52</v>
      </c>
      <c r="C289" s="821">
        <f>9200*1.2</f>
        <v>11040</v>
      </c>
      <c r="D289" s="22"/>
      <c r="E289" s="22"/>
      <c r="G289" s="528"/>
    </row>
    <row r="290" spans="1:7" s="5" customFormat="1" ht="14.25" customHeight="1">
      <c r="A290" s="12" t="s">
        <v>219</v>
      </c>
      <c r="B290" s="26" t="s">
        <v>582</v>
      </c>
      <c r="C290" s="26">
        <f>SUM(C291)</f>
        <v>42600</v>
      </c>
      <c r="D290" s="22"/>
      <c r="E290" s="22"/>
      <c r="G290" s="528"/>
    </row>
    <row r="291" spans="1:7" s="5" customFormat="1" ht="14.25" customHeight="1" hidden="1">
      <c r="A291" s="13" t="s">
        <v>217</v>
      </c>
      <c r="B291" s="24" t="s">
        <v>252</v>
      </c>
      <c r="C291" s="821">
        <v>42600</v>
      </c>
      <c r="D291" s="22"/>
      <c r="E291" s="22"/>
      <c r="G291" s="528"/>
    </row>
    <row r="292" spans="1:7" s="5" customFormat="1" ht="13.5" customHeight="1">
      <c r="A292" s="353" t="s">
        <v>129</v>
      </c>
      <c r="B292" s="26" t="s">
        <v>119</v>
      </c>
      <c r="C292" s="26">
        <f>SUM(C293:C295)</f>
        <v>153300</v>
      </c>
      <c r="D292" s="22"/>
      <c r="E292" s="22"/>
      <c r="G292" s="528"/>
    </row>
    <row r="293" spans="1:7" s="5" customFormat="1" ht="14.25" customHeight="1" hidden="1">
      <c r="A293" s="107" t="s">
        <v>168</v>
      </c>
      <c r="B293" s="24" t="s">
        <v>551</v>
      </c>
      <c r="C293" s="821">
        <v>137400</v>
      </c>
      <c r="D293" s="22"/>
      <c r="E293" s="22"/>
      <c r="G293" s="528"/>
    </row>
    <row r="294" spans="1:7" s="5" customFormat="1" ht="13.5" customHeight="1" hidden="1">
      <c r="A294" s="107" t="s">
        <v>210</v>
      </c>
      <c r="B294" s="24" t="s">
        <v>209</v>
      </c>
      <c r="C294" s="821">
        <v>10900</v>
      </c>
      <c r="D294" s="22"/>
      <c r="E294" s="22"/>
      <c r="G294" s="528"/>
    </row>
    <row r="295" spans="1:9" s="107" customFormat="1" ht="13.5" customHeight="1" hidden="1">
      <c r="A295" s="13" t="s">
        <v>1169</v>
      </c>
      <c r="B295" s="57" t="s">
        <v>1194</v>
      </c>
      <c r="C295" s="821">
        <v>5000</v>
      </c>
      <c r="D295" s="115"/>
      <c r="E295" s="26"/>
      <c r="F295" s="142"/>
      <c r="G295" s="25"/>
      <c r="H295" s="13"/>
      <c r="I295" s="388"/>
    </row>
    <row r="296" spans="1:7" s="5" customFormat="1" ht="13.5" customHeight="1">
      <c r="A296" s="353" t="s">
        <v>134</v>
      </c>
      <c r="B296" s="26" t="s">
        <v>133</v>
      </c>
      <c r="C296" s="26">
        <f>SUM(C297:C298)</f>
        <v>134600</v>
      </c>
      <c r="D296" s="22"/>
      <c r="E296" s="22"/>
      <c r="G296" s="528"/>
    </row>
    <row r="297" spans="1:7" s="5" customFormat="1" ht="13.5" customHeight="1" hidden="1">
      <c r="A297" s="107" t="s">
        <v>323</v>
      </c>
      <c r="B297" s="24" t="s">
        <v>324</v>
      </c>
      <c r="C297" s="821">
        <v>100100</v>
      </c>
      <c r="D297" s="22"/>
      <c r="E297" s="22"/>
      <c r="G297" s="528"/>
    </row>
    <row r="298" spans="1:7" s="5" customFormat="1" ht="13.5" customHeight="1" hidden="1">
      <c r="A298" s="107" t="s">
        <v>103</v>
      </c>
      <c r="B298" s="24" t="s">
        <v>620</v>
      </c>
      <c r="C298" s="821">
        <v>34500</v>
      </c>
      <c r="D298" s="22"/>
      <c r="E298" s="22"/>
      <c r="G298" s="528"/>
    </row>
    <row r="299" spans="1:7" s="5" customFormat="1" ht="13.5" customHeight="1">
      <c r="A299" s="353" t="s">
        <v>169</v>
      </c>
      <c r="B299" s="26" t="s">
        <v>135</v>
      </c>
      <c r="C299" s="26">
        <f>SUM(C300:C301)</f>
        <v>16750</v>
      </c>
      <c r="D299" s="22"/>
      <c r="E299" s="22"/>
      <c r="G299" s="528"/>
    </row>
    <row r="300" spans="1:7" s="5" customFormat="1" ht="13.5" customHeight="1" hidden="1">
      <c r="A300" s="107" t="s">
        <v>247</v>
      </c>
      <c r="B300" s="24" t="s">
        <v>246</v>
      </c>
      <c r="C300" s="821">
        <v>5500</v>
      </c>
      <c r="D300" s="22"/>
      <c r="E300" s="22"/>
      <c r="G300" s="528"/>
    </row>
    <row r="301" spans="1:7" s="5" customFormat="1" ht="13.5" customHeight="1" hidden="1">
      <c r="A301" s="107" t="s">
        <v>173</v>
      </c>
      <c r="B301" s="24" t="s">
        <v>144</v>
      </c>
      <c r="C301" s="821">
        <v>11250</v>
      </c>
      <c r="D301" s="22"/>
      <c r="E301" s="22"/>
      <c r="G301" s="528"/>
    </row>
    <row r="302" spans="1:7" s="5" customFormat="1" ht="13.5" customHeight="1" thickBot="1">
      <c r="A302" s="107"/>
      <c r="B302" s="24"/>
      <c r="C302" s="24"/>
      <c r="D302" s="22"/>
      <c r="E302" s="22"/>
      <c r="G302" s="528"/>
    </row>
    <row r="303" spans="1:7" s="5" customFormat="1" ht="13.5" customHeight="1" thickBot="1">
      <c r="A303" s="949" t="s">
        <v>3</v>
      </c>
      <c r="B303" s="950"/>
      <c r="C303" s="36">
        <f>C304+C306+C310+C313</f>
        <v>4494695</v>
      </c>
      <c r="D303" s="22"/>
      <c r="E303" s="22"/>
      <c r="G303" s="528"/>
    </row>
    <row r="304" spans="1:5" s="142" customFormat="1" ht="13.5" customHeight="1">
      <c r="A304" s="353" t="s">
        <v>552</v>
      </c>
      <c r="B304" s="404" t="s">
        <v>553</v>
      </c>
      <c r="C304" s="34">
        <f>SUM(C305)</f>
        <v>1895760</v>
      </c>
      <c r="D304" s="137"/>
      <c r="E304" s="137"/>
    </row>
    <row r="305" spans="1:7" s="107" customFormat="1" ht="13.5" customHeight="1" hidden="1">
      <c r="A305" s="13" t="s">
        <v>621</v>
      </c>
      <c r="B305" s="13" t="s">
        <v>622</v>
      </c>
      <c r="C305" s="821">
        <f>1480000+554800*1.2-250000</f>
        <v>1895760</v>
      </c>
      <c r="D305" s="13"/>
      <c r="E305" s="13"/>
      <c r="F305" s="13"/>
      <c r="G305" s="142"/>
    </row>
    <row r="306" spans="1:7" s="107" customFormat="1" ht="13.5" customHeight="1">
      <c r="A306" s="12" t="s">
        <v>130</v>
      </c>
      <c r="B306" s="26" t="s">
        <v>131</v>
      </c>
      <c r="C306" s="33">
        <f>SUM(C307:C309)</f>
        <v>1884215</v>
      </c>
      <c r="D306" s="13"/>
      <c r="E306" s="13"/>
      <c r="F306" s="13"/>
      <c r="G306" s="142"/>
    </row>
    <row r="307" spans="1:9" s="107" customFormat="1" ht="13.5" customHeight="1" hidden="1">
      <c r="A307" s="13" t="s">
        <v>300</v>
      </c>
      <c r="B307" s="13" t="s">
        <v>623</v>
      </c>
      <c r="C307" s="821">
        <f>(749700+137900+554760+18500+100100+85000)*1.2-250000</f>
        <v>1725152</v>
      </c>
      <c r="G307" s="13"/>
      <c r="H307" s="13"/>
      <c r="I307" s="13"/>
    </row>
    <row r="308" spans="1:9" s="107" customFormat="1" ht="13.5" customHeight="1" hidden="1">
      <c r="A308" s="13" t="s">
        <v>148</v>
      </c>
      <c r="B308" s="13" t="s">
        <v>77</v>
      </c>
      <c r="C308" s="821">
        <f>23250+5000</f>
        <v>28250</v>
      </c>
      <c r="G308" s="13"/>
      <c r="H308" s="13"/>
      <c r="I308" s="142"/>
    </row>
    <row r="309" spans="1:9" s="107" customFormat="1" ht="13.5" customHeight="1" hidden="1">
      <c r="A309" s="13" t="s">
        <v>1379</v>
      </c>
      <c r="B309" s="13" t="s">
        <v>1380</v>
      </c>
      <c r="C309" s="821">
        <f>(96650+8000)*1.25+0.5</f>
        <v>130813</v>
      </c>
      <c r="G309" s="13"/>
      <c r="H309" s="13"/>
      <c r="I309" s="13"/>
    </row>
    <row r="310" spans="1:9" s="107" customFormat="1" ht="13.5" customHeight="1">
      <c r="A310" s="353" t="s">
        <v>122</v>
      </c>
      <c r="B310" s="12" t="s">
        <v>175</v>
      </c>
      <c r="C310" s="33">
        <f>SUM(C311:C312)</f>
        <v>491120</v>
      </c>
      <c r="G310" s="13"/>
      <c r="H310" s="13"/>
      <c r="I310" s="13"/>
    </row>
    <row r="311" spans="1:8" s="107" customFormat="1" ht="13.5" customHeight="1" hidden="1">
      <c r="A311" s="13" t="s">
        <v>150</v>
      </c>
      <c r="B311" s="13" t="s">
        <v>149</v>
      </c>
      <c r="C311" s="821">
        <v>8000</v>
      </c>
      <c r="G311" s="25"/>
      <c r="H311" s="25"/>
    </row>
    <row r="312" spans="1:8" s="107" customFormat="1" ht="13.5" customHeight="1" hidden="1">
      <c r="A312" s="107" t="s">
        <v>174</v>
      </c>
      <c r="B312" s="13" t="s">
        <v>97</v>
      </c>
      <c r="C312" s="821">
        <f>483120</f>
        <v>483120</v>
      </c>
      <c r="G312" s="25"/>
      <c r="H312" s="25"/>
    </row>
    <row r="313" spans="1:8" s="107" customFormat="1" ht="13.5" customHeight="1">
      <c r="A313" s="353" t="s">
        <v>125</v>
      </c>
      <c r="B313" s="353" t="s">
        <v>8</v>
      </c>
      <c r="C313" s="33">
        <f>SUM(C314:C316)</f>
        <v>223600</v>
      </c>
      <c r="G313" s="25"/>
      <c r="H313" s="25"/>
    </row>
    <row r="314" spans="1:9" s="107" customFormat="1" ht="13.5" customHeight="1" hidden="1">
      <c r="A314" s="107" t="s">
        <v>99</v>
      </c>
      <c r="B314" s="107" t="s">
        <v>8</v>
      </c>
      <c r="C314" s="821">
        <f>80400+101200</f>
        <v>181600</v>
      </c>
      <c r="G314" s="24"/>
      <c r="H314" s="24"/>
      <c r="I314" s="13"/>
    </row>
    <row r="315" spans="1:8" s="107" customFormat="1" ht="13.5" customHeight="1" hidden="1">
      <c r="A315" s="107" t="s">
        <v>205</v>
      </c>
      <c r="B315" s="107" t="s">
        <v>54</v>
      </c>
      <c r="C315" s="821">
        <v>22500</v>
      </c>
      <c r="G315" s="24"/>
      <c r="H315" s="24"/>
    </row>
    <row r="316" spans="1:7" s="107" customFormat="1" ht="13.5" customHeight="1" hidden="1">
      <c r="A316" s="107" t="s">
        <v>100</v>
      </c>
      <c r="B316" s="107" t="s">
        <v>7</v>
      </c>
      <c r="C316" s="821">
        <v>19500</v>
      </c>
      <c r="D316" s="24"/>
      <c r="E316" s="558"/>
      <c r="G316" s="314"/>
    </row>
    <row r="317" spans="1:7" s="5" customFormat="1" ht="13.5" customHeight="1" thickBot="1">
      <c r="A317" s="107"/>
      <c r="B317" s="107"/>
      <c r="C317" s="24"/>
      <c r="D317" s="22"/>
      <c r="E317" s="22"/>
      <c r="F317" s="208"/>
      <c r="G317" s="528"/>
    </row>
    <row r="318" spans="1:7" s="5" customFormat="1" ht="14.25" customHeight="1" thickBot="1">
      <c r="A318" s="951" t="s">
        <v>4</v>
      </c>
      <c r="B318" s="952"/>
      <c r="C318" s="32">
        <f>C319+C321+C325</f>
        <v>1602450</v>
      </c>
      <c r="D318" s="22"/>
      <c r="E318" s="22"/>
      <c r="G318" s="528"/>
    </row>
    <row r="319" spans="1:7" s="529" customFormat="1" ht="13.5">
      <c r="A319" s="353" t="s">
        <v>201</v>
      </c>
      <c r="B319" s="404" t="s">
        <v>200</v>
      </c>
      <c r="C319" s="34">
        <f>SUM(C320)</f>
        <v>150000</v>
      </c>
      <c r="D319" s="321"/>
      <c r="E319" s="526"/>
      <c r="F319" s="527"/>
      <c r="G319" s="527"/>
    </row>
    <row r="320" spans="1:7" s="5" customFormat="1" ht="13.5" hidden="1">
      <c r="A320" s="107" t="s">
        <v>199</v>
      </c>
      <c r="B320" s="107" t="s">
        <v>611</v>
      </c>
      <c r="C320" s="821">
        <v>150000</v>
      </c>
      <c r="D320" s="24"/>
      <c r="E320" s="29"/>
      <c r="F320" s="22"/>
      <c r="G320" s="515"/>
    </row>
    <row r="321" spans="1:5" s="529" customFormat="1" ht="14.25" customHeight="1">
      <c r="A321" s="353" t="s">
        <v>126</v>
      </c>
      <c r="B321" s="353" t="s">
        <v>127</v>
      </c>
      <c r="C321" s="34">
        <f>SUM(C322:C324)</f>
        <v>242450</v>
      </c>
      <c r="D321" s="137"/>
      <c r="E321" s="137"/>
    </row>
    <row r="322" spans="1:7" s="5" customFormat="1" ht="14.25" customHeight="1" hidden="1">
      <c r="A322" s="107" t="s">
        <v>101</v>
      </c>
      <c r="B322" s="107" t="s">
        <v>152</v>
      </c>
      <c r="C322" s="821">
        <v>14250</v>
      </c>
      <c r="D322" s="24"/>
      <c r="E322" s="24"/>
      <c r="G322" s="528"/>
    </row>
    <row r="323" spans="1:7" s="5" customFormat="1" ht="14.25" customHeight="1" hidden="1">
      <c r="A323" s="107" t="s">
        <v>624</v>
      </c>
      <c r="B323" s="107" t="s">
        <v>625</v>
      </c>
      <c r="C323" s="821">
        <v>200000</v>
      </c>
      <c r="D323" s="22" t="s">
        <v>1411</v>
      </c>
      <c r="E323" s="22"/>
      <c r="F323" s="22"/>
      <c r="G323" s="528"/>
    </row>
    <row r="324" spans="1:7" s="5" customFormat="1" ht="14.25" customHeight="1" hidden="1">
      <c r="A324" s="107" t="s">
        <v>62</v>
      </c>
      <c r="B324" s="107" t="s">
        <v>63</v>
      </c>
      <c r="C324" s="821">
        <v>28200</v>
      </c>
      <c r="D324" s="22"/>
      <c r="E324" s="22"/>
      <c r="G324" s="528"/>
    </row>
    <row r="325" spans="1:7" s="5" customFormat="1" ht="14.25" customHeight="1">
      <c r="A325" s="353" t="s">
        <v>142</v>
      </c>
      <c r="B325" s="353" t="s">
        <v>371</v>
      </c>
      <c r="C325" s="33">
        <f>SUM(C326)</f>
        <v>1210000</v>
      </c>
      <c r="D325" s="24"/>
      <c r="E325" s="24"/>
      <c r="G325" s="528"/>
    </row>
    <row r="326" spans="1:7" s="5" customFormat="1" ht="13.5" customHeight="1" hidden="1">
      <c r="A326" s="107" t="s">
        <v>185</v>
      </c>
      <c r="B326" s="107" t="s">
        <v>371</v>
      </c>
      <c r="C326" s="821">
        <f>1560000-350000</f>
        <v>1210000</v>
      </c>
      <c r="D326" s="172" t="s">
        <v>1425</v>
      </c>
      <c r="E326" s="22" t="s">
        <v>1424</v>
      </c>
      <c r="G326" s="528"/>
    </row>
    <row r="327" ht="13.5" customHeight="1">
      <c r="G327" s="515"/>
    </row>
    <row r="328" spans="1:7" ht="14.25" customHeight="1" thickBot="1">
      <c r="A328" s="110"/>
      <c r="G328" s="515"/>
    </row>
    <row r="329" spans="1:7" s="5" customFormat="1" ht="12.75">
      <c r="A329" s="64" t="s">
        <v>626</v>
      </c>
      <c r="B329" s="221"/>
      <c r="C329" s="65"/>
      <c r="D329" s="67" t="s">
        <v>6</v>
      </c>
      <c r="E329" s="516" t="s">
        <v>627</v>
      </c>
      <c r="F329" s="3"/>
      <c r="G329" s="515"/>
    </row>
    <row r="330" spans="1:7" ht="13.5" thickBot="1">
      <c r="A330" s="45"/>
      <c r="B330" s="208" t="s">
        <v>224</v>
      </c>
      <c r="C330" s="172"/>
      <c r="D330" s="447"/>
      <c r="E330" s="542"/>
      <c r="G330" s="515"/>
    </row>
    <row r="331" spans="1:7" s="1" customFormat="1" ht="12.75">
      <c r="A331" s="64" t="s">
        <v>628</v>
      </c>
      <c r="B331" s="221"/>
      <c r="C331" s="65"/>
      <c r="D331" s="65"/>
      <c r="E331" s="449"/>
      <c r="G331" s="527"/>
    </row>
    <row r="332" spans="1:5" s="1" customFormat="1" ht="12.75">
      <c r="A332" s="45" t="s">
        <v>629</v>
      </c>
      <c r="B332" s="208"/>
      <c r="C332" s="172"/>
      <c r="D332" s="172"/>
      <c r="E332" s="450"/>
    </row>
    <row r="333" spans="1:5" s="1" customFormat="1" ht="12.75" hidden="1">
      <c r="A333" s="45"/>
      <c r="B333" s="208"/>
      <c r="C333" s="172"/>
      <c r="D333" s="172"/>
      <c r="E333" s="450"/>
    </row>
    <row r="334" spans="1:5" s="1" customFormat="1" ht="12.75" hidden="1">
      <c r="A334" s="45"/>
      <c r="B334" s="208"/>
      <c r="C334" s="172"/>
      <c r="D334" s="172"/>
      <c r="E334" s="450"/>
    </row>
    <row r="335" spans="1:7" s="1" customFormat="1" ht="12.75" hidden="1">
      <c r="A335" s="45"/>
      <c r="B335" s="208"/>
      <c r="C335" s="172"/>
      <c r="D335" s="172"/>
      <c r="E335" s="450"/>
      <c r="G335" s="527"/>
    </row>
    <row r="336" spans="1:7" s="1" customFormat="1" ht="12.75" hidden="1">
      <c r="A336" s="45"/>
      <c r="B336" s="208"/>
      <c r="C336" s="172"/>
      <c r="D336" s="172"/>
      <c r="E336" s="450"/>
      <c r="G336" s="527"/>
    </row>
    <row r="337" spans="1:7" s="1" customFormat="1" ht="13.5" hidden="1" thickBot="1">
      <c r="A337" s="49"/>
      <c r="B337" s="205"/>
      <c r="C337" s="119"/>
      <c r="D337" s="119"/>
      <c r="E337" s="452"/>
      <c r="G337" s="527"/>
    </row>
    <row r="338" spans="1:7" s="1" customFormat="1" ht="12.75">
      <c r="A338" s="45" t="s">
        <v>630</v>
      </c>
      <c r="B338" s="208"/>
      <c r="C338" s="172"/>
      <c r="D338" s="172"/>
      <c r="E338" s="450"/>
      <c r="G338" s="527"/>
    </row>
    <row r="339" spans="1:7" s="1" customFormat="1" ht="12.75">
      <c r="A339" s="45" t="s">
        <v>631</v>
      </c>
      <c r="B339" s="208"/>
      <c r="C339" s="172"/>
      <c r="D339" s="172"/>
      <c r="E339" s="450"/>
      <c r="G339" s="527"/>
    </row>
    <row r="340" spans="1:7" s="1" customFormat="1" ht="12.75">
      <c r="A340" s="45" t="s">
        <v>632</v>
      </c>
      <c r="B340" s="208"/>
      <c r="C340" s="172"/>
      <c r="D340" s="172"/>
      <c r="E340" s="450"/>
      <c r="G340" s="527"/>
    </row>
    <row r="341" spans="1:7" s="1" customFormat="1" ht="12.75">
      <c r="A341" s="45" t="s">
        <v>633</v>
      </c>
      <c r="B341" s="208"/>
      <c r="C341" s="172"/>
      <c r="D341" s="172"/>
      <c r="E341" s="450"/>
      <c r="G341" s="527"/>
    </row>
    <row r="342" spans="1:7" s="1" customFormat="1" ht="13.5" thickBot="1">
      <c r="A342" s="49" t="s">
        <v>634</v>
      </c>
      <c r="B342" s="205"/>
      <c r="C342" s="119"/>
      <c r="D342" s="119"/>
      <c r="E342" s="452"/>
      <c r="G342" s="527"/>
    </row>
    <row r="343" spans="1:7" s="1" customFormat="1" ht="13.5">
      <c r="A343" s="52" t="s">
        <v>1365</v>
      </c>
      <c r="B343" s="13"/>
      <c r="C343" s="25"/>
      <c r="D343" s="25"/>
      <c r="E343" s="453"/>
      <c r="G343" s="527"/>
    </row>
    <row r="344" spans="1:7" s="1" customFormat="1" ht="13.5">
      <c r="A344" s="52" t="s">
        <v>635</v>
      </c>
      <c r="B344" s="13"/>
      <c r="C344" s="25"/>
      <c r="D344" s="25"/>
      <c r="E344" s="453"/>
      <c r="G344" s="527"/>
    </row>
    <row r="345" spans="1:7" s="1" customFormat="1" ht="13.5">
      <c r="A345" s="52" t="s">
        <v>1421</v>
      </c>
      <c r="B345" s="13"/>
      <c r="C345" s="25"/>
      <c r="D345" s="25"/>
      <c r="E345" s="453"/>
      <c r="G345" s="527"/>
    </row>
    <row r="346" spans="1:7" s="1" customFormat="1" ht="14.25" thickBot="1">
      <c r="A346" s="52" t="s">
        <v>16</v>
      </c>
      <c r="B346" s="13"/>
      <c r="C346" s="25"/>
      <c r="D346" s="25"/>
      <c r="E346" s="453"/>
      <c r="G346" s="527"/>
    </row>
    <row r="347" spans="1:7" ht="14.25" thickBot="1">
      <c r="A347" s="54" t="s">
        <v>17</v>
      </c>
      <c r="B347" s="192"/>
      <c r="C347" s="55"/>
      <c r="D347" s="191"/>
      <c r="E347" s="161">
        <f>+C349+C364+C381+C386</f>
        <v>709400</v>
      </c>
      <c r="G347" s="128"/>
    </row>
    <row r="348" spans="1:7" ht="14.25" thickBot="1">
      <c r="A348" s="12"/>
      <c r="B348" s="12"/>
      <c r="C348" s="33"/>
      <c r="D348" s="33"/>
      <c r="E348" s="282"/>
      <c r="G348" s="515"/>
    </row>
    <row r="349" spans="1:7" ht="14.25" thickBot="1">
      <c r="A349" s="947" t="s">
        <v>2</v>
      </c>
      <c r="B349" s="948"/>
      <c r="C349" s="38">
        <f>C350+C352+C354+C356+C358+C360</f>
        <v>81700</v>
      </c>
      <c r="E349" s="559"/>
      <c r="G349" s="515"/>
    </row>
    <row r="350" spans="1:7" s="142" customFormat="1" ht="13.5" customHeight="1">
      <c r="A350" s="12" t="s">
        <v>113</v>
      </c>
      <c r="B350" s="404" t="s">
        <v>114</v>
      </c>
      <c r="C350" s="34">
        <f>SUM(C351)</f>
        <v>5200</v>
      </c>
      <c r="D350" s="526"/>
      <c r="G350" s="527"/>
    </row>
    <row r="351" spans="1:8" s="107" customFormat="1" ht="13.5" customHeight="1" hidden="1">
      <c r="A351" s="13" t="s">
        <v>50</v>
      </c>
      <c r="B351" s="107" t="s">
        <v>49</v>
      </c>
      <c r="C351" s="821">
        <v>5200</v>
      </c>
      <c r="D351" s="137"/>
      <c r="F351" s="33"/>
      <c r="G351" s="137"/>
      <c r="H351" s="13"/>
    </row>
    <row r="352" spans="1:7" s="1" customFormat="1" ht="13.5">
      <c r="A352" s="404" t="s">
        <v>636</v>
      </c>
      <c r="B352" s="404" t="s">
        <v>256</v>
      </c>
      <c r="C352" s="33">
        <f>SUM(C353)</f>
        <v>14500</v>
      </c>
      <c r="D352" s="15"/>
      <c r="E352" s="560"/>
      <c r="G352" s="527"/>
    </row>
    <row r="353" spans="1:7" s="1" customFormat="1" ht="13.5" hidden="1">
      <c r="A353" s="13" t="s">
        <v>271</v>
      </c>
      <c r="B353" s="142" t="s">
        <v>270</v>
      </c>
      <c r="C353" s="821">
        <v>14500</v>
      </c>
      <c r="D353" s="15"/>
      <c r="E353" s="560"/>
      <c r="G353" s="527"/>
    </row>
    <row r="354" spans="1:7" s="1" customFormat="1" ht="13.5">
      <c r="A354" s="12" t="s">
        <v>115</v>
      </c>
      <c r="B354" s="12" t="s">
        <v>116</v>
      </c>
      <c r="C354" s="34">
        <f>SUM(C355)</f>
        <v>11400</v>
      </c>
      <c r="D354" s="15"/>
      <c r="E354" s="15"/>
      <c r="G354" s="527"/>
    </row>
    <row r="355" spans="1:7" ht="13.5" hidden="1">
      <c r="A355" s="13" t="s">
        <v>96</v>
      </c>
      <c r="B355" s="107" t="s">
        <v>71</v>
      </c>
      <c r="C355" s="821">
        <v>11400</v>
      </c>
      <c r="D355" s="543"/>
      <c r="G355" s="515"/>
    </row>
    <row r="356" spans="1:7" ht="13.5">
      <c r="A356" s="12" t="s">
        <v>117</v>
      </c>
      <c r="B356" s="353" t="s">
        <v>118</v>
      </c>
      <c r="C356" s="26">
        <f>SUM(C357)</f>
        <v>8500</v>
      </c>
      <c r="G356" s="515"/>
    </row>
    <row r="357" spans="1:7" ht="13.5" hidden="1">
      <c r="A357" s="13" t="s">
        <v>51</v>
      </c>
      <c r="B357" s="24" t="s">
        <v>52</v>
      </c>
      <c r="C357" s="821">
        <v>8500</v>
      </c>
      <c r="G357" s="515"/>
    </row>
    <row r="358" spans="1:7" ht="14.25" customHeight="1">
      <c r="A358" s="353" t="s">
        <v>134</v>
      </c>
      <c r="B358" s="26" t="s">
        <v>133</v>
      </c>
      <c r="C358" s="26">
        <f>SUM(C359)</f>
        <v>11100</v>
      </c>
      <c r="G358" s="515"/>
    </row>
    <row r="359" spans="1:7" s="107" customFormat="1" ht="12.75" customHeight="1" hidden="1">
      <c r="A359" s="107" t="s">
        <v>103</v>
      </c>
      <c r="B359" s="24" t="s">
        <v>78</v>
      </c>
      <c r="C359" s="821">
        <v>11100</v>
      </c>
      <c r="D359" s="544"/>
      <c r="E359" s="19"/>
      <c r="F359" s="3"/>
      <c r="G359" s="515"/>
    </row>
    <row r="360" spans="1:7" s="107" customFormat="1" ht="12.75" customHeight="1">
      <c r="A360" s="353" t="s">
        <v>169</v>
      </c>
      <c r="B360" s="26" t="s">
        <v>583</v>
      </c>
      <c r="C360" s="26">
        <f>SUM(C361:C362)</f>
        <v>31000</v>
      </c>
      <c r="D360" s="544"/>
      <c r="E360" s="19"/>
      <c r="F360" s="3"/>
      <c r="G360" s="515"/>
    </row>
    <row r="361" spans="1:7" s="5" customFormat="1" ht="13.5" hidden="1">
      <c r="A361" s="107" t="s">
        <v>171</v>
      </c>
      <c r="B361" s="24" t="s">
        <v>75</v>
      </c>
      <c r="C361" s="821">
        <v>6000</v>
      </c>
      <c r="D361" s="115"/>
      <c r="E361" s="26"/>
      <c r="F361" s="142"/>
      <c r="G361" s="137"/>
    </row>
    <row r="362" spans="1:7" s="107" customFormat="1" ht="12.75" customHeight="1" hidden="1">
      <c r="A362" s="107" t="s">
        <v>173</v>
      </c>
      <c r="B362" s="24" t="s">
        <v>583</v>
      </c>
      <c r="C362" s="821">
        <v>25000</v>
      </c>
      <c r="D362" s="545"/>
      <c r="E362" s="19"/>
      <c r="F362" s="3"/>
      <c r="G362" s="515"/>
    </row>
    <row r="363" spans="2:7" s="107" customFormat="1" ht="12.75" customHeight="1" thickBot="1">
      <c r="B363" s="24"/>
      <c r="C363" s="24"/>
      <c r="D363" s="545"/>
      <c r="E363" s="19"/>
      <c r="F363" s="3"/>
      <c r="G363" s="515"/>
    </row>
    <row r="364" spans="1:7" s="184" customFormat="1" ht="12.75" customHeight="1" thickBot="1">
      <c r="A364" s="949" t="s">
        <v>3</v>
      </c>
      <c r="B364" s="950"/>
      <c r="C364" s="36">
        <f>C365+C367+C370+C373+C375</f>
        <v>462300</v>
      </c>
      <c r="D364" s="544"/>
      <c r="E364" s="19"/>
      <c r="F364" s="3"/>
      <c r="G364" s="515"/>
    </row>
    <row r="365" spans="1:8" s="180" customFormat="1" ht="12.75" customHeight="1">
      <c r="A365" s="12" t="s">
        <v>120</v>
      </c>
      <c r="B365" s="12" t="s">
        <v>121</v>
      </c>
      <c r="C365" s="34">
        <f>SUM(C366)</f>
        <v>175000</v>
      </c>
      <c r="F365" s="527"/>
      <c r="G365" s="546"/>
      <c r="H365" s="526"/>
    </row>
    <row r="366" spans="1:8" s="184" customFormat="1" ht="12.75" customHeight="1" hidden="1">
      <c r="A366" s="13" t="s">
        <v>57</v>
      </c>
      <c r="B366" s="13" t="s">
        <v>18</v>
      </c>
      <c r="C366" s="821">
        <v>175000</v>
      </c>
      <c r="F366" s="142"/>
      <c r="G366" s="545"/>
      <c r="H366" s="28"/>
    </row>
    <row r="367" spans="1:8" s="184" customFormat="1" ht="12.75" customHeight="1">
      <c r="A367" s="353" t="s">
        <v>122</v>
      </c>
      <c r="B367" s="12" t="s">
        <v>175</v>
      </c>
      <c r="C367" s="33">
        <f>SUM(C368:C369)</f>
        <v>102300</v>
      </c>
      <c r="F367" s="142"/>
      <c r="G367" s="545"/>
      <c r="H367" s="28"/>
    </row>
    <row r="368" spans="1:8" s="184" customFormat="1" ht="12.75" customHeight="1" hidden="1">
      <c r="A368" s="107" t="s">
        <v>150</v>
      </c>
      <c r="B368" s="13" t="s">
        <v>149</v>
      </c>
      <c r="C368" s="821">
        <v>5500</v>
      </c>
      <c r="F368" s="15"/>
      <c r="G368" s="547"/>
      <c r="H368" s="15"/>
    </row>
    <row r="369" spans="1:8" s="184" customFormat="1" ht="12.75" customHeight="1" hidden="1">
      <c r="A369" s="107" t="s">
        <v>53</v>
      </c>
      <c r="B369" s="24" t="s">
        <v>97</v>
      </c>
      <c r="C369" s="821">
        <v>96800</v>
      </c>
      <c r="F369" s="15"/>
      <c r="G369" s="548"/>
      <c r="H369" s="15"/>
    </row>
    <row r="370" spans="1:8" s="184" customFormat="1" ht="12.75" customHeight="1">
      <c r="A370" s="353" t="s">
        <v>123</v>
      </c>
      <c r="B370" s="26" t="s">
        <v>124</v>
      </c>
      <c r="C370" s="33">
        <f>SUM(C371:C372)</f>
        <v>20000</v>
      </c>
      <c r="F370" s="15"/>
      <c r="G370" s="539"/>
      <c r="H370" s="15"/>
    </row>
    <row r="371" spans="1:256" s="107" customFormat="1" ht="13.5" customHeight="1" hidden="1">
      <c r="A371" s="13" t="s">
        <v>184</v>
      </c>
      <c r="B371" s="13" t="s">
        <v>83</v>
      </c>
      <c r="C371" s="821">
        <v>12500</v>
      </c>
      <c r="G371" s="604"/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  <c r="AP371" s="208"/>
      <c r="AQ371" s="208"/>
      <c r="AR371" s="208"/>
      <c r="AS371" s="208"/>
      <c r="AT371" s="208"/>
      <c r="AU371" s="208"/>
      <c r="AV371" s="208"/>
      <c r="AW371" s="208"/>
      <c r="AX371" s="208"/>
      <c r="AY371" s="208"/>
      <c r="AZ371" s="208"/>
      <c r="BA371" s="208"/>
      <c r="BB371" s="208"/>
      <c r="BC371" s="208"/>
      <c r="BD371" s="208"/>
      <c r="BE371" s="208"/>
      <c r="BF371" s="208"/>
      <c r="BG371" s="208"/>
      <c r="BH371" s="208"/>
      <c r="BI371" s="208"/>
      <c r="BJ371" s="208"/>
      <c r="BK371" s="208"/>
      <c r="BL371" s="208"/>
      <c r="BM371" s="208"/>
      <c r="BN371" s="208"/>
      <c r="BO371" s="208"/>
      <c r="BP371" s="208"/>
      <c r="BQ371" s="208"/>
      <c r="BR371" s="208"/>
      <c r="BS371" s="208"/>
      <c r="BT371" s="208"/>
      <c r="BU371" s="208"/>
      <c r="BV371" s="208"/>
      <c r="BW371" s="208"/>
      <c r="BX371" s="208"/>
      <c r="BY371" s="208"/>
      <c r="BZ371" s="208"/>
      <c r="CA371" s="208"/>
      <c r="CB371" s="208"/>
      <c r="CC371" s="208"/>
      <c r="CD371" s="208"/>
      <c r="CE371" s="208"/>
      <c r="CF371" s="208"/>
      <c r="CG371" s="208"/>
      <c r="CH371" s="208"/>
      <c r="CI371" s="208"/>
      <c r="CJ371" s="208"/>
      <c r="CK371" s="208"/>
      <c r="CL371" s="208"/>
      <c r="CM371" s="208"/>
      <c r="CN371" s="208"/>
      <c r="CO371" s="208"/>
      <c r="CP371" s="208"/>
      <c r="CQ371" s="208"/>
      <c r="CR371" s="208"/>
      <c r="CS371" s="208"/>
      <c r="CT371" s="208"/>
      <c r="CU371" s="208"/>
      <c r="CV371" s="208"/>
      <c r="CW371" s="208"/>
      <c r="CX371" s="208"/>
      <c r="CY371" s="208"/>
      <c r="CZ371" s="208"/>
      <c r="DA371" s="208"/>
      <c r="DB371" s="208"/>
      <c r="DC371" s="208"/>
      <c r="DD371" s="208"/>
      <c r="DE371" s="208"/>
      <c r="DF371" s="208"/>
      <c r="DG371" s="208"/>
      <c r="DH371" s="208"/>
      <c r="DI371" s="208"/>
      <c r="DJ371" s="208"/>
      <c r="DK371" s="208"/>
      <c r="DL371" s="208"/>
      <c r="DM371" s="208"/>
      <c r="DN371" s="208"/>
      <c r="DO371" s="208"/>
      <c r="DP371" s="208"/>
      <c r="DQ371" s="208"/>
      <c r="DR371" s="208"/>
      <c r="DS371" s="208"/>
      <c r="DT371" s="208"/>
      <c r="DU371" s="208"/>
      <c r="DV371" s="208"/>
      <c r="DW371" s="208"/>
      <c r="DX371" s="208"/>
      <c r="DY371" s="208"/>
      <c r="DZ371" s="208"/>
      <c r="EA371" s="208"/>
      <c r="EB371" s="208"/>
      <c r="EC371" s="208"/>
      <c r="ED371" s="208"/>
      <c r="EE371" s="208"/>
      <c r="EF371" s="208"/>
      <c r="EG371" s="208"/>
      <c r="EH371" s="208"/>
      <c r="EI371" s="208"/>
      <c r="EJ371" s="208"/>
      <c r="EK371" s="208"/>
      <c r="EL371" s="208"/>
      <c r="EM371" s="208"/>
      <c r="EN371" s="208"/>
      <c r="EO371" s="208"/>
      <c r="EP371" s="208"/>
      <c r="EQ371" s="208"/>
      <c r="ER371" s="208"/>
      <c r="ES371" s="208"/>
      <c r="ET371" s="208"/>
      <c r="EU371" s="208"/>
      <c r="EV371" s="208"/>
      <c r="EW371" s="208"/>
      <c r="EX371" s="208"/>
      <c r="EY371" s="208"/>
      <c r="EZ371" s="208"/>
      <c r="FA371" s="208"/>
      <c r="FB371" s="208"/>
      <c r="FC371" s="208"/>
      <c r="FD371" s="208"/>
      <c r="FE371" s="208"/>
      <c r="FF371" s="208"/>
      <c r="FG371" s="208"/>
      <c r="FH371" s="208"/>
      <c r="FI371" s="208"/>
      <c r="FJ371" s="208"/>
      <c r="FK371" s="208"/>
      <c r="FL371" s="208"/>
      <c r="FM371" s="208"/>
      <c r="FN371" s="208"/>
      <c r="FO371" s="208"/>
      <c r="FP371" s="208"/>
      <c r="FQ371" s="208"/>
      <c r="FR371" s="208"/>
      <c r="FS371" s="208"/>
      <c r="FT371" s="208"/>
      <c r="FU371" s="208"/>
      <c r="FV371" s="208"/>
      <c r="FW371" s="208"/>
      <c r="FX371" s="208"/>
      <c r="FY371" s="208"/>
      <c r="FZ371" s="208"/>
      <c r="GA371" s="208"/>
      <c r="GB371" s="208"/>
      <c r="GC371" s="208"/>
      <c r="GD371" s="208"/>
      <c r="GE371" s="208"/>
      <c r="GF371" s="208"/>
      <c r="GG371" s="208"/>
      <c r="GH371" s="208"/>
      <c r="GI371" s="208"/>
      <c r="GJ371" s="208"/>
      <c r="GK371" s="208"/>
      <c r="GL371" s="208"/>
      <c r="GM371" s="208"/>
      <c r="GN371" s="208"/>
      <c r="GO371" s="208"/>
      <c r="GP371" s="208"/>
      <c r="GQ371" s="208"/>
      <c r="GR371" s="208"/>
      <c r="GS371" s="208"/>
      <c r="GT371" s="208"/>
      <c r="GU371" s="208"/>
      <c r="GV371" s="208"/>
      <c r="GW371" s="208"/>
      <c r="GX371" s="208"/>
      <c r="GY371" s="208"/>
      <c r="GZ371" s="208"/>
      <c r="HA371" s="208"/>
      <c r="HB371" s="208"/>
      <c r="HC371" s="208"/>
      <c r="HD371" s="208"/>
      <c r="HE371" s="208"/>
      <c r="HF371" s="208"/>
      <c r="HG371" s="208"/>
      <c r="HH371" s="208"/>
      <c r="HI371" s="208"/>
      <c r="HJ371" s="208"/>
      <c r="HK371" s="208"/>
      <c r="HL371" s="208"/>
      <c r="HM371" s="208"/>
      <c r="HN371" s="208"/>
      <c r="HO371" s="208"/>
      <c r="HP371" s="208"/>
      <c r="HQ371" s="208"/>
      <c r="HR371" s="208"/>
      <c r="HS371" s="208"/>
      <c r="HT371" s="208"/>
      <c r="HU371" s="208"/>
      <c r="HV371" s="208"/>
      <c r="HW371" s="208"/>
      <c r="HX371" s="208"/>
      <c r="HY371" s="208"/>
      <c r="HZ371" s="208"/>
      <c r="IA371" s="208"/>
      <c r="IB371" s="208"/>
      <c r="IC371" s="208"/>
      <c r="ID371" s="208"/>
      <c r="IE371" s="208"/>
      <c r="IF371" s="208"/>
      <c r="IG371" s="208"/>
      <c r="IH371" s="208"/>
      <c r="II371" s="208"/>
      <c r="IJ371" s="208"/>
      <c r="IK371" s="208"/>
      <c r="IL371" s="208"/>
      <c r="IM371" s="208"/>
      <c r="IN371" s="208"/>
      <c r="IO371" s="208"/>
      <c r="IP371" s="208"/>
      <c r="IQ371" s="208"/>
      <c r="IR371" s="208"/>
      <c r="IS371" s="208"/>
      <c r="IT371" s="208"/>
      <c r="IU371" s="208"/>
      <c r="IV371" s="208"/>
    </row>
    <row r="372" spans="1:7" s="107" customFormat="1" ht="12.75" customHeight="1" hidden="1">
      <c r="A372" s="107" t="s">
        <v>98</v>
      </c>
      <c r="B372" s="24" t="s">
        <v>69</v>
      </c>
      <c r="C372" s="821">
        <v>7500</v>
      </c>
      <c r="G372" s="549"/>
    </row>
    <row r="373" spans="1:7" s="107" customFormat="1" ht="12.75" customHeight="1">
      <c r="A373" s="353" t="s">
        <v>143</v>
      </c>
      <c r="B373" s="26" t="s">
        <v>61</v>
      </c>
      <c r="C373" s="33">
        <f>17000*1.2</f>
        <v>20400</v>
      </c>
      <c r="G373" s="549"/>
    </row>
    <row r="374" spans="1:8" s="184" customFormat="1" ht="12.75" customHeight="1" hidden="1">
      <c r="A374" s="107" t="s">
        <v>60</v>
      </c>
      <c r="B374" s="107" t="s">
        <v>61</v>
      </c>
      <c r="C374" s="821">
        <v>41500</v>
      </c>
      <c r="G374" s="549"/>
      <c r="H374" s="543"/>
    </row>
    <row r="375" spans="1:8" s="184" customFormat="1" ht="12.75" customHeight="1">
      <c r="A375" s="353" t="s">
        <v>125</v>
      </c>
      <c r="B375" s="26" t="s">
        <v>8</v>
      </c>
      <c r="C375" s="33">
        <f>SUM(C376:C379)</f>
        <v>144600</v>
      </c>
      <c r="F375" s="550"/>
      <c r="G375" s="543"/>
      <c r="H375" s="106"/>
    </row>
    <row r="376" spans="1:8" s="107" customFormat="1" ht="12.75" customHeight="1" hidden="1">
      <c r="A376" s="107" t="s">
        <v>102</v>
      </c>
      <c r="B376" s="24" t="s">
        <v>8</v>
      </c>
      <c r="C376" s="821">
        <v>14500</v>
      </c>
      <c r="F376" s="550"/>
      <c r="G376" s="548"/>
      <c r="H376" s="13"/>
    </row>
    <row r="377" spans="1:8" s="107" customFormat="1" ht="12.75" customHeight="1" hidden="1">
      <c r="A377" s="107" t="s">
        <v>205</v>
      </c>
      <c r="B377" s="24" t="s">
        <v>54</v>
      </c>
      <c r="C377" s="821">
        <v>6500</v>
      </c>
      <c r="F377" s="551"/>
      <c r="G377" s="539"/>
      <c r="H377" s="543"/>
    </row>
    <row r="378" spans="1:8" s="5" customFormat="1" ht="13.5" hidden="1">
      <c r="A378" s="107" t="s">
        <v>266</v>
      </c>
      <c r="B378" s="13" t="s">
        <v>265</v>
      </c>
      <c r="C378" s="821">
        <v>117000</v>
      </c>
      <c r="F378" s="172"/>
      <c r="G378" s="25"/>
      <c r="H378" s="172"/>
    </row>
    <row r="379" spans="1:7" s="184" customFormat="1" ht="12.75" customHeight="1" hidden="1">
      <c r="A379" s="107" t="s">
        <v>100</v>
      </c>
      <c r="B379" s="24" t="s">
        <v>7</v>
      </c>
      <c r="C379" s="824">
        <v>6600</v>
      </c>
      <c r="D379" s="106"/>
      <c r="E379" s="543"/>
      <c r="F379" s="551"/>
      <c r="G379" s="515"/>
    </row>
    <row r="380" spans="1:7" s="184" customFormat="1" ht="12.75" customHeight="1" thickBot="1">
      <c r="A380" s="107"/>
      <c r="B380" s="107"/>
      <c r="C380" s="137"/>
      <c r="D380" s="15"/>
      <c r="E380" s="543"/>
      <c r="F380" s="551"/>
      <c r="G380" s="515"/>
    </row>
    <row r="381" spans="1:7" s="353" customFormat="1" ht="13.5" customHeight="1" thickBot="1">
      <c r="A381" s="953" t="s">
        <v>5</v>
      </c>
      <c r="B381" s="954"/>
      <c r="C381" s="37">
        <f>C382</f>
        <v>138000</v>
      </c>
      <c r="D381" s="530"/>
      <c r="E381" s="531"/>
      <c r="F381" s="532"/>
      <c r="G381" s="533"/>
    </row>
    <row r="382" spans="1:7" s="142" customFormat="1" ht="13.5" customHeight="1">
      <c r="A382" s="12" t="s">
        <v>139</v>
      </c>
      <c r="B382" s="404" t="s">
        <v>140</v>
      </c>
      <c r="C382" s="34">
        <f>SUM(C383:C384)</f>
        <v>138000</v>
      </c>
      <c r="D382" s="534"/>
      <c r="E382" s="535"/>
      <c r="F382" s="535"/>
      <c r="G382" s="536"/>
    </row>
    <row r="383" spans="1:11" s="106" customFormat="1" ht="13.5" customHeight="1" hidden="1">
      <c r="A383" s="13" t="s">
        <v>564</v>
      </c>
      <c r="B383" s="13" t="s">
        <v>565</v>
      </c>
      <c r="C383" s="821">
        <v>98000</v>
      </c>
      <c r="D383" s="537"/>
      <c r="E383" s="25"/>
      <c r="F383" s="538"/>
      <c r="G383" s="539"/>
      <c r="K383" s="208"/>
    </row>
    <row r="384" spans="1:7" s="107" customFormat="1" ht="13.5" customHeight="1" hidden="1">
      <c r="A384" s="107" t="s">
        <v>157</v>
      </c>
      <c r="B384" s="25" t="s">
        <v>12</v>
      </c>
      <c r="C384" s="821">
        <v>40000</v>
      </c>
      <c r="D384" s="540"/>
      <c r="E384" s="531"/>
      <c r="F384" s="530"/>
      <c r="G384" s="541"/>
    </row>
    <row r="385" spans="2:7" s="107" customFormat="1" ht="13.5" customHeight="1" thickBot="1">
      <c r="B385" s="25"/>
      <c r="C385" s="25"/>
      <c r="D385" s="540"/>
      <c r="E385" s="531"/>
      <c r="F385" s="530"/>
      <c r="G385" s="541"/>
    </row>
    <row r="386" spans="1:7" s="184" customFormat="1" ht="12.75" customHeight="1" thickBot="1">
      <c r="A386" s="951" t="s">
        <v>4</v>
      </c>
      <c r="B386" s="952"/>
      <c r="C386" s="32">
        <f>+C387+C389</f>
        <v>27400</v>
      </c>
      <c r="D386" s="15"/>
      <c r="E386" s="543"/>
      <c r="F386" s="553"/>
      <c r="G386" s="515"/>
    </row>
    <row r="387" spans="1:7" s="107" customFormat="1" ht="13.5">
      <c r="A387" s="353" t="s">
        <v>126</v>
      </c>
      <c r="B387" s="353" t="s">
        <v>127</v>
      </c>
      <c r="C387" s="26">
        <f>SUM(C388)</f>
        <v>16900</v>
      </c>
      <c r="D387" s="29"/>
      <c r="E387" s="523"/>
      <c r="F387" s="270"/>
      <c r="G387" s="520"/>
    </row>
    <row r="388" spans="1:7" s="184" customFormat="1" ht="12.75" customHeight="1" hidden="1">
      <c r="A388" s="107" t="s">
        <v>101</v>
      </c>
      <c r="B388" s="107" t="s">
        <v>152</v>
      </c>
      <c r="C388" s="821">
        <v>16900</v>
      </c>
      <c r="D388" s="29"/>
      <c r="E388" s="523"/>
      <c r="F388" s="270"/>
      <c r="G388" s="520"/>
    </row>
    <row r="389" spans="1:7" s="184" customFormat="1" ht="12.75" customHeight="1">
      <c r="A389" s="353" t="s">
        <v>188</v>
      </c>
      <c r="B389" s="26" t="s">
        <v>146</v>
      </c>
      <c r="C389" s="26">
        <f>SUM(C390)</f>
        <v>10500</v>
      </c>
      <c r="D389" s="29"/>
      <c r="E389" s="523"/>
      <c r="F389" s="270"/>
      <c r="G389" s="520"/>
    </row>
    <row r="390" spans="1:7" s="5" customFormat="1" ht="13.5" hidden="1">
      <c r="A390" s="107" t="s">
        <v>189</v>
      </c>
      <c r="B390" s="24" t="s">
        <v>56</v>
      </c>
      <c r="C390" s="821">
        <v>10500</v>
      </c>
      <c r="D390" s="19"/>
      <c r="E390" s="527"/>
      <c r="F390" s="1"/>
      <c r="G390" s="515"/>
    </row>
    <row r="391" spans="1:7" s="5" customFormat="1" ht="13.5">
      <c r="A391" s="107"/>
      <c r="B391" s="24"/>
      <c r="C391" s="24"/>
      <c r="D391" s="19"/>
      <c r="E391" s="527"/>
      <c r="F391" s="1"/>
      <c r="G391" s="515"/>
    </row>
    <row r="392" spans="1:7" s="5" customFormat="1" ht="14.25" thickBot="1">
      <c r="A392" s="107"/>
      <c r="B392" s="24"/>
      <c r="C392" s="24"/>
      <c r="D392" s="19"/>
      <c r="E392" s="527"/>
      <c r="F392" s="1"/>
      <c r="G392" s="515"/>
    </row>
    <row r="393" spans="1:7" ht="13.5" customHeight="1">
      <c r="A393" s="64" t="s">
        <v>637</v>
      </c>
      <c r="B393" s="221"/>
      <c r="C393" s="65"/>
      <c r="D393" s="67" t="s">
        <v>6</v>
      </c>
      <c r="E393" s="516" t="s">
        <v>638</v>
      </c>
      <c r="G393" s="515"/>
    </row>
    <row r="394" spans="1:7" ht="13.5" customHeight="1" thickBot="1">
      <c r="A394" s="49"/>
      <c r="B394" s="205"/>
      <c r="C394" s="119"/>
      <c r="D394" s="121"/>
      <c r="E394" s="517"/>
      <c r="G394" s="515"/>
    </row>
    <row r="395" spans="1:7" ht="13.5" customHeight="1">
      <c r="A395" s="45" t="s">
        <v>639</v>
      </c>
      <c r="B395" s="208"/>
      <c r="C395" s="172"/>
      <c r="D395" s="172"/>
      <c r="E395" s="450"/>
      <c r="G395" s="515"/>
    </row>
    <row r="396" spans="1:7" ht="13.5" customHeight="1" thickBot="1">
      <c r="A396" s="49" t="s">
        <v>640</v>
      </c>
      <c r="B396" s="205"/>
      <c r="C396" s="119"/>
      <c r="D396" s="119"/>
      <c r="E396" s="452"/>
      <c r="G396" s="515"/>
    </row>
    <row r="397" spans="1:7" s="11" customFormat="1" ht="13.5">
      <c r="A397" s="52" t="s">
        <v>1365</v>
      </c>
      <c r="B397" s="13"/>
      <c r="C397" s="25"/>
      <c r="D397" s="25"/>
      <c r="E397" s="453"/>
      <c r="G397" s="520"/>
    </row>
    <row r="398" spans="1:7" s="11" customFormat="1" ht="13.5">
      <c r="A398" s="52" t="s">
        <v>550</v>
      </c>
      <c r="B398" s="13"/>
      <c r="C398" s="25"/>
      <c r="D398" s="25"/>
      <c r="E398" s="453"/>
      <c r="G398" s="520"/>
    </row>
    <row r="399" spans="1:7" s="270" customFormat="1" ht="13.5">
      <c r="A399" s="52" t="s">
        <v>1098</v>
      </c>
      <c r="B399" s="13"/>
      <c r="C399" s="25"/>
      <c r="D399" s="25"/>
      <c r="E399" s="453"/>
      <c r="F399" s="11"/>
      <c r="G399" s="520"/>
    </row>
    <row r="400" spans="1:7" s="270" customFormat="1" ht="14.25" thickBot="1">
      <c r="A400" s="52" t="s">
        <v>16</v>
      </c>
      <c r="B400" s="13"/>
      <c r="C400" s="25"/>
      <c r="D400" s="25"/>
      <c r="E400" s="453"/>
      <c r="F400" s="11"/>
      <c r="G400" s="520"/>
    </row>
    <row r="401" spans="1:7" ht="13.5" customHeight="1" thickBot="1">
      <c r="A401" s="54" t="s">
        <v>17</v>
      </c>
      <c r="B401" s="192"/>
      <c r="C401" s="55"/>
      <c r="D401" s="191"/>
      <c r="E401" s="161">
        <f>C403+C417+C435</f>
        <v>26507481</v>
      </c>
      <c r="F401" s="11"/>
      <c r="G401" s="521"/>
    </row>
    <row r="402" spans="1:7" ht="13.5" customHeight="1" thickBot="1">
      <c r="A402" s="12"/>
      <c r="B402" s="12"/>
      <c r="C402" s="33"/>
      <c r="D402" s="33"/>
      <c r="E402" s="33"/>
      <c r="F402" s="270"/>
      <c r="G402" s="523"/>
    </row>
    <row r="403" spans="1:7" ht="13.5" customHeight="1" thickBot="1">
      <c r="A403" s="977" t="s">
        <v>641</v>
      </c>
      <c r="B403" s="978"/>
      <c r="C403" s="561">
        <f>C404+C409+C411+C414</f>
        <v>2578442</v>
      </c>
      <c r="G403" s="515"/>
    </row>
    <row r="404" spans="1:5" s="529" customFormat="1" ht="13.5" customHeight="1">
      <c r="A404" s="12" t="s">
        <v>642</v>
      </c>
      <c r="B404" s="404" t="s">
        <v>643</v>
      </c>
      <c r="C404" s="34">
        <f>SUM(C405:C408)</f>
        <v>1000002</v>
      </c>
      <c r="D404" s="321"/>
      <c r="E404" s="321"/>
    </row>
    <row r="405" spans="1:7" s="5" customFormat="1" ht="14.25" customHeight="1" hidden="1">
      <c r="A405" s="13" t="s">
        <v>644</v>
      </c>
      <c r="B405" s="13" t="s">
        <v>645</v>
      </c>
      <c r="C405" s="821">
        <v>500000</v>
      </c>
      <c r="D405" s="22"/>
      <c r="E405" s="22"/>
      <c r="G405" s="528"/>
    </row>
    <row r="406" spans="1:7" s="5" customFormat="1" ht="14.25" customHeight="1" hidden="1">
      <c r="A406" s="13" t="s">
        <v>646</v>
      </c>
      <c r="B406" s="13" t="s">
        <v>647</v>
      </c>
      <c r="C406" s="821">
        <v>500000</v>
      </c>
      <c r="D406" s="22"/>
      <c r="E406" s="22"/>
      <c r="G406" s="528"/>
    </row>
    <row r="407" spans="1:7" s="5" customFormat="1" ht="14.25" customHeight="1" hidden="1">
      <c r="A407" s="13" t="s">
        <v>648</v>
      </c>
      <c r="B407" s="13" t="s">
        <v>649</v>
      </c>
      <c r="C407" s="821">
        <v>1</v>
      </c>
      <c r="D407" s="22"/>
      <c r="E407" s="22"/>
      <c r="G407" s="528"/>
    </row>
    <row r="408" spans="1:7" s="5" customFormat="1" ht="14.25" customHeight="1" hidden="1">
      <c r="A408" s="13" t="s">
        <v>650</v>
      </c>
      <c r="B408" s="13" t="s">
        <v>651</v>
      </c>
      <c r="C408" s="821">
        <v>1</v>
      </c>
      <c r="D408" s="22"/>
      <c r="E408" s="22"/>
      <c r="G408" s="528"/>
    </row>
    <row r="409" spans="1:7" s="5" customFormat="1" ht="14.25" customHeight="1">
      <c r="A409" s="12" t="s">
        <v>652</v>
      </c>
      <c r="B409" s="12" t="s">
        <v>653</v>
      </c>
      <c r="C409" s="33">
        <f>SUM(C410)</f>
        <v>1</v>
      </c>
      <c r="D409" s="22"/>
      <c r="E409" s="22"/>
      <c r="G409" s="528"/>
    </row>
    <row r="410" spans="1:7" s="5" customFormat="1" ht="14.25" customHeight="1" hidden="1">
      <c r="A410" s="13" t="s">
        <v>654</v>
      </c>
      <c r="B410" s="13" t="s">
        <v>655</v>
      </c>
      <c r="C410" s="821">
        <v>1</v>
      </c>
      <c r="D410" s="22"/>
      <c r="E410" s="22"/>
      <c r="G410" s="528"/>
    </row>
    <row r="411" spans="1:7" s="5" customFormat="1" ht="14.25" customHeight="1">
      <c r="A411" s="12" t="s">
        <v>656</v>
      </c>
      <c r="B411" s="12" t="s">
        <v>657</v>
      </c>
      <c r="C411" s="33">
        <f>SUM(C412:C413)</f>
        <v>2</v>
      </c>
      <c r="D411" s="22"/>
      <c r="E411" s="22"/>
      <c r="G411" s="528"/>
    </row>
    <row r="412" spans="1:7" s="5" customFormat="1" ht="13.5" customHeight="1" hidden="1">
      <c r="A412" s="13" t="s">
        <v>658</v>
      </c>
      <c r="B412" s="13" t="s">
        <v>659</v>
      </c>
      <c r="C412" s="821">
        <v>1</v>
      </c>
      <c r="D412" s="22"/>
      <c r="E412" s="22"/>
      <c r="G412" s="528"/>
    </row>
    <row r="413" spans="1:7" s="5" customFormat="1" ht="13.5" customHeight="1" hidden="1">
      <c r="A413" s="13" t="s">
        <v>660</v>
      </c>
      <c r="B413" s="13" t="s">
        <v>661</v>
      </c>
      <c r="C413" s="821">
        <v>1</v>
      </c>
      <c r="D413" s="22"/>
      <c r="E413" s="22"/>
      <c r="G413" s="528"/>
    </row>
    <row r="414" spans="1:7" s="5" customFormat="1" ht="13.5" customHeight="1">
      <c r="A414" s="12" t="s">
        <v>662</v>
      </c>
      <c r="B414" s="12" t="s">
        <v>663</v>
      </c>
      <c r="C414" s="33">
        <f>SUM(C415)</f>
        <v>1578437</v>
      </c>
      <c r="D414" s="22"/>
      <c r="E414" s="22"/>
      <c r="G414" s="528"/>
    </row>
    <row r="415" spans="1:7" s="5" customFormat="1" ht="13.5" customHeight="1" hidden="1">
      <c r="A415" s="13" t="s">
        <v>664</v>
      </c>
      <c r="B415" s="13" t="s">
        <v>665</v>
      </c>
      <c r="C415" s="821">
        <f>'Ingresos-2016'!L88*0.01-0.17</f>
        <v>1578437</v>
      </c>
      <c r="D415" s="432" t="s">
        <v>1381</v>
      </c>
      <c r="E415" s="22"/>
      <c r="G415" s="528"/>
    </row>
    <row r="416" spans="1:7" ht="13.5" customHeight="1" thickBot="1">
      <c r="A416" s="12"/>
      <c r="B416" s="12"/>
      <c r="C416" s="33"/>
      <c r="D416" s="33"/>
      <c r="E416" s="33"/>
      <c r="G416" s="515"/>
    </row>
    <row r="417" spans="1:7" ht="13.5" customHeight="1" thickBot="1">
      <c r="A417" s="979" t="s">
        <v>666</v>
      </c>
      <c r="B417" s="980"/>
      <c r="C417" s="562">
        <f>C418+C426+C429+C432</f>
        <v>7971330</v>
      </c>
      <c r="D417" s="33"/>
      <c r="E417" s="33"/>
      <c r="G417" s="515"/>
    </row>
    <row r="418" spans="1:7" s="5" customFormat="1" ht="14.25" customHeight="1">
      <c r="A418" s="353" t="s">
        <v>667</v>
      </c>
      <c r="B418" s="353" t="s">
        <v>668</v>
      </c>
      <c r="C418" s="33">
        <f>SUM(C419:C425)</f>
        <v>3443282.0000000005</v>
      </c>
      <c r="D418" s="563"/>
      <c r="E418" s="563"/>
      <c r="F418" s="564"/>
      <c r="G418" s="528"/>
    </row>
    <row r="419" spans="1:7" s="5" customFormat="1" ht="14.25" customHeight="1" hidden="1">
      <c r="A419" s="107" t="s">
        <v>669</v>
      </c>
      <c r="B419" s="107" t="s">
        <v>670</v>
      </c>
      <c r="C419" s="821">
        <v>1</v>
      </c>
      <c r="D419" s="563"/>
      <c r="E419" s="563"/>
      <c r="F419" s="564"/>
      <c r="G419" s="528"/>
    </row>
    <row r="420" spans="1:7" s="5" customFormat="1" ht="14.25" customHeight="1" hidden="1">
      <c r="A420" s="107" t="s">
        <v>671</v>
      </c>
      <c r="B420" s="107" t="s">
        <v>672</v>
      </c>
      <c r="C420" s="821">
        <f>1599999.84+99999.99+333333.33+33333.33+699999.93+0.58</f>
        <v>2766667.0000000005</v>
      </c>
      <c r="D420" s="564" t="s">
        <v>1383</v>
      </c>
      <c r="E420" s="564"/>
      <c r="F420" s="564"/>
      <c r="G420" s="528"/>
    </row>
    <row r="421" spans="1:7" s="5" customFormat="1" ht="13.5" customHeight="1" hidden="1">
      <c r="A421" s="107" t="s">
        <v>673</v>
      </c>
      <c r="B421" s="107" t="s">
        <v>674</v>
      </c>
      <c r="C421" s="821">
        <f>56384.1*12+0.8</f>
        <v>676610</v>
      </c>
      <c r="D421" s="565" t="s">
        <v>675</v>
      </c>
      <c r="E421" s="563" t="s">
        <v>676</v>
      </c>
      <c r="F421" s="564"/>
      <c r="G421" s="528"/>
    </row>
    <row r="422" spans="1:7" s="5" customFormat="1" ht="13.5" customHeight="1" hidden="1">
      <c r="A422" s="107" t="s">
        <v>677</v>
      </c>
      <c r="B422" s="107" t="s">
        <v>678</v>
      </c>
      <c r="C422" s="821">
        <v>1</v>
      </c>
      <c r="D422" s="564"/>
      <c r="E422" s="564"/>
      <c r="F422" s="564"/>
      <c r="G422" s="528"/>
    </row>
    <row r="423" spans="1:7" s="5" customFormat="1" ht="13.5" customHeight="1" hidden="1">
      <c r="A423" s="107" t="s">
        <v>679</v>
      </c>
      <c r="B423" s="107" t="s">
        <v>680</v>
      </c>
      <c r="C423" s="821">
        <v>1</v>
      </c>
      <c r="D423" s="564"/>
      <c r="E423" s="564"/>
      <c r="F423" s="564"/>
      <c r="G423" s="528"/>
    </row>
    <row r="424" spans="1:7" s="5" customFormat="1" ht="14.25" customHeight="1" hidden="1">
      <c r="A424" s="107" t="s">
        <v>681</v>
      </c>
      <c r="B424" s="13" t="s">
        <v>682</v>
      </c>
      <c r="C424" s="821">
        <f>SUM(C425)</f>
        <v>1</v>
      </c>
      <c r="D424" s="565"/>
      <c r="E424" s="564"/>
      <c r="F424" s="564"/>
      <c r="G424" s="528"/>
    </row>
    <row r="425" spans="1:7" s="5" customFormat="1" ht="14.25" customHeight="1" hidden="1">
      <c r="A425" s="107" t="s">
        <v>683</v>
      </c>
      <c r="B425" s="13" t="s">
        <v>684</v>
      </c>
      <c r="C425" s="821">
        <v>1</v>
      </c>
      <c r="D425" s="29"/>
      <c r="G425" s="528"/>
    </row>
    <row r="426" spans="1:7" s="5" customFormat="1" ht="14.25" customHeight="1">
      <c r="A426" s="353" t="s">
        <v>685</v>
      </c>
      <c r="B426" s="232" t="s">
        <v>686</v>
      </c>
      <c r="C426" s="33">
        <f>SUM(C427:C428)</f>
        <v>3917899</v>
      </c>
      <c r="D426" s="29"/>
      <c r="G426" s="528"/>
    </row>
    <row r="427" spans="1:7" s="5" customFormat="1" ht="13.5" customHeight="1" hidden="1">
      <c r="A427" s="107" t="s">
        <v>687</v>
      </c>
      <c r="B427" s="11" t="s">
        <v>688</v>
      </c>
      <c r="C427" s="821">
        <v>1</v>
      </c>
      <c r="D427" s="521"/>
      <c r="G427" s="528"/>
    </row>
    <row r="428" spans="1:7" s="5" customFormat="1" ht="13.5" customHeight="1" hidden="1">
      <c r="A428" s="107" t="s">
        <v>689</v>
      </c>
      <c r="B428" s="13" t="s">
        <v>690</v>
      </c>
      <c r="C428" s="821">
        <v>3917898</v>
      </c>
      <c r="D428" s="145"/>
      <c r="E428" s="5" t="s">
        <v>1423</v>
      </c>
      <c r="F428" s="819"/>
      <c r="G428" s="528"/>
    </row>
    <row r="429" spans="1:7" s="11" customFormat="1" ht="12.75" customHeight="1">
      <c r="A429" s="353" t="s">
        <v>691</v>
      </c>
      <c r="B429" s="12" t="s">
        <v>692</v>
      </c>
      <c r="C429" s="28">
        <f>SUM(C430:C431)</f>
        <v>610148</v>
      </c>
      <c r="E429" s="29"/>
      <c r="G429" s="520"/>
    </row>
    <row r="430" spans="1:7" s="11" customFormat="1" ht="12.75" customHeight="1" hidden="1">
      <c r="A430" s="107" t="s">
        <v>693</v>
      </c>
      <c r="B430" s="107" t="s">
        <v>694</v>
      </c>
      <c r="C430" s="826">
        <f>18273.22*13+19199.55*13+20500*6+0.99</f>
        <v>610147</v>
      </c>
      <c r="D430" s="29" t="s">
        <v>1382</v>
      </c>
      <c r="E430" s="29"/>
      <c r="G430" s="520"/>
    </row>
    <row r="431" spans="1:7" s="11" customFormat="1" ht="12.75" customHeight="1" hidden="1">
      <c r="A431" s="107" t="s">
        <v>695</v>
      </c>
      <c r="B431" s="11" t="s">
        <v>696</v>
      </c>
      <c r="C431" s="826">
        <v>1</v>
      </c>
      <c r="D431" s="29"/>
      <c r="E431" s="29"/>
      <c r="G431" s="520"/>
    </row>
    <row r="432" spans="1:7" s="5" customFormat="1" ht="13.5" customHeight="1">
      <c r="A432" s="353" t="s">
        <v>697</v>
      </c>
      <c r="B432" s="353" t="s">
        <v>698</v>
      </c>
      <c r="C432" s="33">
        <f>SUM(C433)</f>
        <v>1</v>
      </c>
      <c r="D432" s="22"/>
      <c r="E432" s="29"/>
      <c r="G432" s="528"/>
    </row>
    <row r="433" spans="1:7" s="5" customFormat="1" ht="13.5" customHeight="1" hidden="1">
      <c r="A433" s="107" t="s">
        <v>699</v>
      </c>
      <c r="B433" s="5" t="s">
        <v>700</v>
      </c>
      <c r="C433" s="821">
        <v>1</v>
      </c>
      <c r="D433" s="22"/>
      <c r="E433" s="29"/>
      <c r="G433" s="528"/>
    </row>
    <row r="434" spans="1:7" s="11" customFormat="1" ht="12.75" customHeight="1" thickBot="1">
      <c r="A434" s="107"/>
      <c r="C434" s="29"/>
      <c r="D434" s="565"/>
      <c r="E434" s="29"/>
      <c r="G434" s="520"/>
    </row>
    <row r="435" spans="1:7" ht="14.25" customHeight="1" thickBot="1">
      <c r="A435" s="981" t="s">
        <v>701</v>
      </c>
      <c r="B435" s="982"/>
      <c r="C435" s="566">
        <f>SUM(C436:C437)</f>
        <v>15957709</v>
      </c>
      <c r="E435" s="25"/>
      <c r="G435" s="515"/>
    </row>
    <row r="436" spans="1:7" s="5" customFormat="1" ht="13.5" customHeight="1">
      <c r="A436" s="353" t="s">
        <v>702</v>
      </c>
      <c r="B436" s="353" t="s">
        <v>703</v>
      </c>
      <c r="C436" s="33">
        <f>12167397*1.25+0.75</f>
        <v>15209247</v>
      </c>
      <c r="D436" s="22"/>
      <c r="E436" s="22"/>
      <c r="G436" s="528"/>
    </row>
    <row r="437" spans="1:7" s="5" customFormat="1" ht="14.25" customHeight="1">
      <c r="A437" s="12" t="s">
        <v>704</v>
      </c>
      <c r="B437" s="12" t="s">
        <v>705</v>
      </c>
      <c r="C437" s="33">
        <f>62371.81*12+0.28</f>
        <v>748462</v>
      </c>
      <c r="D437" s="22"/>
      <c r="E437" s="22"/>
      <c r="G437" s="528"/>
    </row>
    <row r="438" spans="3:7" s="5" customFormat="1" ht="13.5" customHeight="1">
      <c r="C438" s="22"/>
      <c r="D438" s="22"/>
      <c r="E438" s="22"/>
      <c r="G438" s="528"/>
    </row>
    <row r="439" ht="13.5" customHeight="1">
      <c r="G439" s="515"/>
    </row>
    <row r="440" spans="2:7" ht="12.75">
      <c r="B440" s="568"/>
      <c r="C440" s="569"/>
      <c r="D440" s="22"/>
      <c r="G440" s="19"/>
    </row>
    <row r="441" spans="2:4" ht="12.75">
      <c r="B441" s="5"/>
      <c r="C441" s="22"/>
      <c r="D441" s="22"/>
    </row>
  </sheetData>
  <sheetProtection/>
  <mergeCells count="24">
    <mergeCell ref="A126:B126"/>
    <mergeCell ref="A149:B149"/>
    <mergeCell ref="A18:B18"/>
    <mergeCell ref="A41:B41"/>
    <mergeCell ref="A58:B58"/>
    <mergeCell ref="A82:B82"/>
    <mergeCell ref="A86:B86"/>
    <mergeCell ref="A108:B108"/>
    <mergeCell ref="A170:B170"/>
    <mergeCell ref="A185:B185"/>
    <mergeCell ref="A206:B206"/>
    <mergeCell ref="A226:B226"/>
    <mergeCell ref="A364:B364"/>
    <mergeCell ref="A386:B386"/>
    <mergeCell ref="A381:B381"/>
    <mergeCell ref="A349:B349"/>
    <mergeCell ref="A403:B403"/>
    <mergeCell ref="A417:B417"/>
    <mergeCell ref="A435:B435"/>
    <mergeCell ref="A241:B241"/>
    <mergeCell ref="A263:B263"/>
    <mergeCell ref="A287:B287"/>
    <mergeCell ref="A303:B303"/>
    <mergeCell ref="A318:B318"/>
  </mergeCells>
  <printOptions/>
  <pageMargins left="0.7874015748031497" right="0.1968503937007874" top="0.7874015748031497" bottom="0.7874015748031497" header="0.3937007874015748" footer="0.1968503937007874"/>
  <pageSetup horizontalDpi="720" verticalDpi="72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Narrow,Normal"&amp;8Secretaría de Economía y Administración
Página &amp;P de &amp;N</oddFooter>
  </headerFooter>
  <rowBreaks count="5" manualBreakCount="5">
    <brk id="92" max="255" man="1"/>
    <brk id="157" max="255" man="1"/>
    <brk id="240" max="255" man="1"/>
    <brk id="328" max="255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5"/>
  <sheetViews>
    <sheetView workbookViewId="0" topLeftCell="A310">
      <selection activeCell="I321" sqref="I321"/>
    </sheetView>
  </sheetViews>
  <sheetFormatPr defaultColWidth="11.421875" defaultRowHeight="12.75"/>
  <cols>
    <col min="1" max="1" width="9.7109375" style="11" customWidth="1"/>
    <col min="2" max="2" width="46.7109375" style="11" customWidth="1"/>
    <col min="3" max="3" width="12.7109375" style="29" customWidth="1"/>
    <col min="4" max="4" width="10.7109375" style="27" customWidth="1"/>
    <col min="5" max="5" width="13.7109375" style="29" customWidth="1"/>
    <col min="6" max="6" width="12.8515625" style="609" customWidth="1"/>
    <col min="7" max="7" width="9.00390625" style="610" customWidth="1"/>
    <col min="8" max="8" width="12.57421875" style="270" customWidth="1"/>
    <col min="9" max="14" width="11.421875" style="270" customWidth="1"/>
    <col min="15" max="16384" width="11.421875" style="11" customWidth="1"/>
  </cols>
  <sheetData>
    <row r="1" spans="1:7" s="570" customFormat="1" ht="13.5" customHeight="1">
      <c r="A1" s="262" t="s">
        <v>706</v>
      </c>
      <c r="C1" s="571"/>
      <c r="D1" s="572"/>
      <c r="E1" s="571"/>
      <c r="F1" s="573"/>
      <c r="G1" s="574"/>
    </row>
    <row r="2" spans="3:7" s="570" customFormat="1" ht="13.5" customHeight="1">
      <c r="C2" s="571"/>
      <c r="D2" s="572"/>
      <c r="E2" s="571"/>
      <c r="F2" s="573"/>
      <c r="G2" s="574"/>
    </row>
    <row r="3" spans="3:7" s="13" customFormat="1" ht="13.5" customHeight="1" thickBot="1">
      <c r="C3" s="25"/>
      <c r="D3" s="23"/>
      <c r="E3" s="25"/>
      <c r="F3" s="306"/>
      <c r="G3" s="539"/>
    </row>
    <row r="4" spans="1:7" s="208" customFormat="1" ht="13.5" customHeight="1">
      <c r="A4" s="64" t="s">
        <v>1156</v>
      </c>
      <c r="B4" s="221"/>
      <c r="C4" s="65"/>
      <c r="D4" s="67" t="s">
        <v>6</v>
      </c>
      <c r="E4" s="44">
        <v>1501</v>
      </c>
      <c r="F4" s="211"/>
      <c r="G4" s="575"/>
    </row>
    <row r="5" spans="1:7" s="208" customFormat="1" ht="13.5" customHeight="1" thickBot="1">
      <c r="A5" s="45"/>
      <c r="B5" s="208" t="s">
        <v>707</v>
      </c>
      <c r="C5" s="172"/>
      <c r="D5" s="447"/>
      <c r="E5" s="576"/>
      <c r="F5" s="211"/>
      <c r="G5" s="575"/>
    </row>
    <row r="6" spans="1:7" s="208" customFormat="1" ht="13.5" customHeight="1">
      <c r="A6" s="64" t="s">
        <v>708</v>
      </c>
      <c r="B6" s="221"/>
      <c r="C6" s="65"/>
      <c r="D6" s="66"/>
      <c r="E6" s="449"/>
      <c r="F6" s="211"/>
      <c r="G6" s="575"/>
    </row>
    <row r="7" spans="1:7" s="208" customFormat="1" ht="13.5" customHeight="1">
      <c r="A7" s="45" t="s">
        <v>709</v>
      </c>
      <c r="C7" s="172"/>
      <c r="D7" s="577"/>
      <c r="E7" s="450"/>
      <c r="F7" s="211"/>
      <c r="G7" s="575"/>
    </row>
    <row r="8" spans="1:7" s="208" customFormat="1" ht="13.5" customHeight="1">
      <c r="A8" s="45" t="s">
        <v>710</v>
      </c>
      <c r="C8" s="172"/>
      <c r="D8" s="577"/>
      <c r="E8" s="450"/>
      <c r="F8" s="211"/>
      <c r="G8" s="575"/>
    </row>
    <row r="9" spans="1:7" s="208" customFormat="1" ht="13.5" customHeight="1">
      <c r="A9" s="45" t="s">
        <v>711</v>
      </c>
      <c r="C9" s="172"/>
      <c r="D9" s="577"/>
      <c r="E9" s="450"/>
      <c r="F9" s="211"/>
      <c r="G9" s="575"/>
    </row>
    <row r="10" spans="1:7" s="208" customFormat="1" ht="13.5" customHeight="1">
      <c r="A10" s="45" t="s">
        <v>712</v>
      </c>
      <c r="C10" s="172"/>
      <c r="D10" s="577"/>
      <c r="E10" s="450"/>
      <c r="F10" s="211"/>
      <c r="G10" s="575"/>
    </row>
    <row r="11" spans="1:7" s="208" customFormat="1" ht="13.5" customHeight="1">
      <c r="A11" s="45" t="s">
        <v>713</v>
      </c>
      <c r="C11" s="172"/>
      <c r="D11" s="577"/>
      <c r="E11" s="450"/>
      <c r="F11" s="211"/>
      <c r="G11" s="575"/>
    </row>
    <row r="12" spans="1:7" s="208" customFormat="1" ht="13.5" customHeight="1">
      <c r="A12" s="45" t="s">
        <v>714</v>
      </c>
      <c r="C12" s="172"/>
      <c r="D12" s="577"/>
      <c r="E12" s="450"/>
      <c r="F12" s="211"/>
      <c r="G12" s="575"/>
    </row>
    <row r="13" spans="1:7" s="208" customFormat="1" ht="13.5" customHeight="1" thickBot="1">
      <c r="A13" s="49" t="s">
        <v>715</v>
      </c>
      <c r="B13" s="205"/>
      <c r="C13" s="119"/>
      <c r="D13" s="136"/>
      <c r="E13" s="452"/>
      <c r="F13" s="211"/>
      <c r="G13" s="575"/>
    </row>
    <row r="14" spans="1:7" s="13" customFormat="1" ht="13.5" customHeight="1">
      <c r="A14" s="52" t="s">
        <v>1365</v>
      </c>
      <c r="B14" s="52"/>
      <c r="C14" s="25"/>
      <c r="D14" s="23"/>
      <c r="E14" s="453"/>
      <c r="F14" s="306"/>
      <c r="G14" s="539"/>
    </row>
    <row r="15" spans="1:7" s="13" customFormat="1" ht="13.5" customHeight="1">
      <c r="A15" s="52" t="s">
        <v>716</v>
      </c>
      <c r="B15" s="52"/>
      <c r="C15" s="25"/>
      <c r="D15" s="23"/>
      <c r="E15" s="453"/>
      <c r="F15" s="306"/>
      <c r="G15" s="539"/>
    </row>
    <row r="16" spans="1:7" s="13" customFormat="1" ht="13.5" customHeight="1">
      <c r="A16" s="52" t="s">
        <v>1421</v>
      </c>
      <c r="B16" s="52"/>
      <c r="C16" s="25"/>
      <c r="D16" s="23"/>
      <c r="E16" s="453"/>
      <c r="F16" s="306"/>
      <c r="G16" s="539"/>
    </row>
    <row r="17" spans="1:7" s="13" customFormat="1" ht="13.5" customHeight="1" thickBot="1">
      <c r="A17" s="111" t="s">
        <v>11</v>
      </c>
      <c r="B17" s="111"/>
      <c r="C17" s="556"/>
      <c r="D17" s="578"/>
      <c r="E17" s="557"/>
      <c r="F17" s="306"/>
      <c r="G17" s="539"/>
    </row>
    <row r="18" spans="1:7" s="13" customFormat="1" ht="13.5" customHeight="1" thickBot="1">
      <c r="A18" s="113" t="s">
        <v>0</v>
      </c>
      <c r="B18" s="113"/>
      <c r="C18" s="556"/>
      <c r="D18" s="114"/>
      <c r="E18" s="112">
        <f>+C20+C43+C58+C72+C77</f>
        <v>18724391</v>
      </c>
      <c r="F18" s="579"/>
      <c r="G18" s="539"/>
    </row>
    <row r="19" spans="3:7" s="13" customFormat="1" ht="13.5" customHeight="1" thickBot="1">
      <c r="C19" s="25"/>
      <c r="D19" s="580"/>
      <c r="F19" s="522"/>
      <c r="G19" s="539"/>
    </row>
    <row r="20" spans="1:14" s="353" customFormat="1" ht="13.5" customHeight="1" thickBot="1">
      <c r="A20" s="945" t="s">
        <v>1</v>
      </c>
      <c r="B20" s="946"/>
      <c r="C20" s="581">
        <f>C21+C28+C35</f>
        <v>17825571</v>
      </c>
      <c r="D20" s="582"/>
      <c r="F20" s="522"/>
      <c r="G20" s="547"/>
      <c r="H20" s="12"/>
      <c r="I20" s="12"/>
      <c r="J20" s="12"/>
      <c r="K20" s="12"/>
      <c r="L20" s="12"/>
      <c r="M20" s="12"/>
      <c r="N20" s="12"/>
    </row>
    <row r="21" spans="1:14" s="107" customFormat="1" ht="12.75" customHeight="1">
      <c r="A21" s="12" t="s">
        <v>107</v>
      </c>
      <c r="B21" s="404" t="s">
        <v>108</v>
      </c>
      <c r="C21" s="33">
        <f>SUM(C22:C27)</f>
        <v>8603814</v>
      </c>
      <c r="D21" s="580"/>
      <c r="F21" s="522"/>
      <c r="G21" s="539"/>
      <c r="H21" s="13"/>
      <c r="I21" s="13"/>
      <c r="J21" s="13"/>
      <c r="K21" s="13"/>
      <c r="L21" s="13"/>
      <c r="M21" s="13"/>
      <c r="N21" s="13"/>
    </row>
    <row r="22" spans="1:14" s="107" customFormat="1" ht="12.75" customHeight="1" hidden="1">
      <c r="A22" s="13" t="s">
        <v>27</v>
      </c>
      <c r="B22" s="25" t="s">
        <v>24</v>
      </c>
      <c r="C22" s="821">
        <v>6160561</v>
      </c>
      <c r="D22" s="580"/>
      <c r="E22" s="583"/>
      <c r="F22" s="580"/>
      <c r="G22" s="539"/>
      <c r="H22" s="13"/>
      <c r="I22" s="13"/>
      <c r="J22" s="13"/>
      <c r="K22" s="13"/>
      <c r="L22" s="13"/>
      <c r="M22" s="13"/>
      <c r="N22" s="13"/>
    </row>
    <row r="23" spans="1:14" s="184" customFormat="1" ht="12.75" customHeight="1" hidden="1">
      <c r="A23" s="13" t="s">
        <v>28</v>
      </c>
      <c r="B23" s="25" t="s">
        <v>26</v>
      </c>
      <c r="C23" s="821">
        <f>1330248+288036</f>
        <v>1618284</v>
      </c>
      <c r="D23" s="580"/>
      <c r="E23" s="583"/>
      <c r="F23" s="580"/>
      <c r="G23" s="539"/>
      <c r="H23" s="106"/>
      <c r="I23" s="106"/>
      <c r="J23" s="106"/>
      <c r="K23" s="106"/>
      <c r="L23" s="106"/>
      <c r="M23" s="106"/>
      <c r="N23" s="106"/>
    </row>
    <row r="24" spans="1:14" s="184" customFormat="1" ht="12.75" customHeight="1" hidden="1">
      <c r="A24" s="13" t="s">
        <v>29</v>
      </c>
      <c r="B24" s="25" t="s">
        <v>86</v>
      </c>
      <c r="C24" s="821">
        <f>25000+223244+9351</f>
        <v>257595</v>
      </c>
      <c r="D24" s="580"/>
      <c r="E24" s="583"/>
      <c r="F24" s="580"/>
      <c r="G24" s="539"/>
      <c r="H24" s="106"/>
      <c r="I24" s="106"/>
      <c r="J24" s="106"/>
      <c r="K24" s="106"/>
      <c r="L24" s="106"/>
      <c r="M24" s="106"/>
      <c r="N24" s="106"/>
    </row>
    <row r="25" spans="1:14" s="184" customFormat="1" ht="12.75" customHeight="1" hidden="1">
      <c r="A25" s="13" t="s">
        <v>30</v>
      </c>
      <c r="B25" s="25" t="s">
        <v>87</v>
      </c>
      <c r="C25" s="821">
        <v>1</v>
      </c>
      <c r="D25" s="580"/>
      <c r="E25" s="583"/>
      <c r="F25" s="580"/>
      <c r="G25" s="539"/>
      <c r="H25" s="106"/>
      <c r="I25" s="106"/>
      <c r="J25" s="106"/>
      <c r="K25" s="106"/>
      <c r="L25" s="106"/>
      <c r="M25" s="106"/>
      <c r="N25" s="106"/>
    </row>
    <row r="26" spans="1:14" s="184" customFormat="1" ht="12.75" customHeight="1" hidden="1">
      <c r="A26" s="13" t="s">
        <v>31</v>
      </c>
      <c r="B26" s="25" t="s">
        <v>25</v>
      </c>
      <c r="C26" s="821">
        <f>14700+88572</f>
        <v>103272</v>
      </c>
      <c r="D26" s="580"/>
      <c r="E26" s="583"/>
      <c r="F26" s="580"/>
      <c r="G26" s="539"/>
      <c r="H26" s="106"/>
      <c r="I26" s="106"/>
      <c r="J26" s="106"/>
      <c r="K26" s="106"/>
      <c r="L26" s="106"/>
      <c r="M26" s="106"/>
      <c r="N26" s="106"/>
    </row>
    <row r="27" spans="1:14" s="184" customFormat="1" ht="12.75" customHeight="1" hidden="1">
      <c r="A27" s="13" t="s">
        <v>32</v>
      </c>
      <c r="B27" s="25" t="s">
        <v>23</v>
      </c>
      <c r="C27" s="821">
        <f>62832.38+81111.11+104416.44+114446.67+101294.35+0.05</f>
        <v>464100.99999999994</v>
      </c>
      <c r="D27" s="580"/>
      <c r="E27" s="583"/>
      <c r="F27" s="580"/>
      <c r="G27" s="539"/>
      <c r="H27" s="106"/>
      <c r="I27" s="106"/>
      <c r="J27" s="106"/>
      <c r="K27" s="106"/>
      <c r="L27" s="106"/>
      <c r="M27" s="106"/>
      <c r="N27" s="106"/>
    </row>
    <row r="28" spans="1:14" s="184" customFormat="1" ht="12.75" customHeight="1">
      <c r="A28" s="12" t="s">
        <v>109</v>
      </c>
      <c r="B28" s="33" t="s">
        <v>110</v>
      </c>
      <c r="C28" s="33">
        <f>SUM(C29:C34)</f>
        <v>4793626</v>
      </c>
      <c r="D28" s="580"/>
      <c r="E28" s="583"/>
      <c r="F28" s="580"/>
      <c r="G28" s="539"/>
      <c r="H28" s="106"/>
      <c r="I28" s="106"/>
      <c r="J28" s="106"/>
      <c r="K28" s="106"/>
      <c r="L28" s="106"/>
      <c r="M28" s="106"/>
      <c r="N28" s="106"/>
    </row>
    <row r="29" spans="1:14" s="184" customFormat="1" ht="12.75" customHeight="1" hidden="1">
      <c r="A29" s="13" t="s">
        <v>34</v>
      </c>
      <c r="B29" s="25" t="s">
        <v>88</v>
      </c>
      <c r="C29" s="821">
        <v>3703476</v>
      </c>
      <c r="D29" s="580"/>
      <c r="E29" s="583"/>
      <c r="F29" s="580"/>
      <c r="G29" s="539"/>
      <c r="H29" s="106"/>
      <c r="I29" s="106"/>
      <c r="J29" s="106"/>
      <c r="K29" s="106"/>
      <c r="L29" s="106"/>
      <c r="M29" s="106"/>
      <c r="N29" s="106"/>
    </row>
    <row r="30" spans="1:14" s="184" customFormat="1" ht="12.75" customHeight="1" hidden="1">
      <c r="A30" s="13" t="s">
        <v>35</v>
      </c>
      <c r="B30" s="25" t="s">
        <v>89</v>
      </c>
      <c r="C30" s="821">
        <f>753956+168386</f>
        <v>922342</v>
      </c>
      <c r="D30" s="580"/>
      <c r="E30" s="583"/>
      <c r="F30" s="580"/>
      <c r="G30" s="539"/>
      <c r="H30" s="106"/>
      <c r="I30" s="106"/>
      <c r="J30" s="106"/>
      <c r="K30" s="106"/>
      <c r="L30" s="106"/>
      <c r="M30" s="106"/>
      <c r="N30" s="106"/>
    </row>
    <row r="31" spans="1:14" s="107" customFormat="1" ht="12.75" customHeight="1" hidden="1">
      <c r="A31" s="13" t="s">
        <v>36</v>
      </c>
      <c r="B31" s="25" t="s">
        <v>90</v>
      </c>
      <c r="C31" s="821">
        <f>145476+6326</f>
        <v>151802</v>
      </c>
      <c r="D31" s="580"/>
      <c r="E31" s="583"/>
      <c r="F31" s="580"/>
      <c r="G31" s="539"/>
      <c r="H31" s="13"/>
      <c r="I31" s="13"/>
      <c r="J31" s="13"/>
      <c r="K31" s="13"/>
      <c r="L31" s="13"/>
      <c r="M31" s="13"/>
      <c r="N31" s="13"/>
    </row>
    <row r="32" spans="1:14" s="107" customFormat="1" ht="12.75" customHeight="1" hidden="1">
      <c r="A32" s="13" t="s">
        <v>37</v>
      </c>
      <c r="B32" s="25" t="s">
        <v>91</v>
      </c>
      <c r="C32" s="821">
        <v>1</v>
      </c>
      <c r="D32" s="580"/>
      <c r="E32" s="583"/>
      <c r="F32" s="580"/>
      <c r="G32" s="539"/>
      <c r="H32" s="13"/>
      <c r="I32" s="13"/>
      <c r="J32" s="13"/>
      <c r="K32" s="13"/>
      <c r="L32" s="13"/>
      <c r="M32" s="13"/>
      <c r="N32" s="13"/>
    </row>
    <row r="33" spans="1:14" s="184" customFormat="1" ht="12.75" customHeight="1" hidden="1">
      <c r="A33" s="13" t="s">
        <v>38</v>
      </c>
      <c r="B33" s="25" t="s">
        <v>370</v>
      </c>
      <c r="C33" s="821">
        <f>700+15304</f>
        <v>16004</v>
      </c>
      <c r="D33" s="580"/>
      <c r="E33" s="583"/>
      <c r="F33" s="580"/>
      <c r="G33" s="539"/>
      <c r="H33" s="106"/>
      <c r="I33" s="106"/>
      <c r="J33" s="106"/>
      <c r="K33" s="106"/>
      <c r="L33" s="106"/>
      <c r="M33" s="106"/>
      <c r="N33" s="106"/>
    </row>
    <row r="34" spans="1:14" s="184" customFormat="1" ht="12.75" customHeight="1" hidden="1">
      <c r="A34" s="13" t="s">
        <v>93</v>
      </c>
      <c r="B34" s="25" t="s">
        <v>92</v>
      </c>
      <c r="C34" s="821">
        <v>1</v>
      </c>
      <c r="D34" s="580"/>
      <c r="E34" s="583"/>
      <c r="F34" s="580"/>
      <c r="G34" s="539"/>
      <c r="H34" s="106"/>
      <c r="I34" s="106"/>
      <c r="J34" s="106"/>
      <c r="K34" s="106"/>
      <c r="L34" s="106"/>
      <c r="M34" s="106"/>
      <c r="N34" s="106"/>
    </row>
    <row r="35" spans="1:14" s="184" customFormat="1" ht="12.75" customHeight="1">
      <c r="A35" s="12" t="s">
        <v>111</v>
      </c>
      <c r="B35" s="33" t="s">
        <v>112</v>
      </c>
      <c r="C35" s="33">
        <f>SUM(C36:C41)</f>
        <v>4428131</v>
      </c>
      <c r="D35" s="580"/>
      <c r="E35" s="583"/>
      <c r="F35" s="580"/>
      <c r="G35" s="539"/>
      <c r="H35" s="106"/>
      <c r="I35" s="106"/>
      <c r="J35" s="106"/>
      <c r="K35" s="106"/>
      <c r="L35" s="106"/>
      <c r="M35" s="106"/>
      <c r="N35" s="106"/>
    </row>
    <row r="36" spans="1:14" s="107" customFormat="1" ht="12.75" customHeight="1" hidden="1">
      <c r="A36" s="13" t="s">
        <v>43</v>
      </c>
      <c r="B36" s="25" t="s">
        <v>39</v>
      </c>
      <c r="C36" s="821">
        <v>3303523</v>
      </c>
      <c r="D36" s="580"/>
      <c r="E36" s="583"/>
      <c r="F36" s="580"/>
      <c r="G36" s="539"/>
      <c r="H36" s="13"/>
      <c r="I36" s="13"/>
      <c r="J36" s="13"/>
      <c r="K36" s="13"/>
      <c r="L36" s="13"/>
      <c r="M36" s="13"/>
      <c r="N36" s="13"/>
    </row>
    <row r="37" spans="1:14" s="107" customFormat="1" ht="12.75" customHeight="1" hidden="1">
      <c r="A37" s="13" t="s">
        <v>44</v>
      </c>
      <c r="B37" s="25" t="s">
        <v>41</v>
      </c>
      <c r="C37" s="821">
        <f>689144+148308</f>
        <v>837452</v>
      </c>
      <c r="D37" s="580"/>
      <c r="E37" s="583"/>
      <c r="F37" s="580"/>
      <c r="G37" s="539"/>
      <c r="H37" s="13"/>
      <c r="I37" s="13"/>
      <c r="J37" s="13"/>
      <c r="K37" s="13"/>
      <c r="L37" s="13"/>
      <c r="M37" s="13"/>
      <c r="N37" s="13"/>
    </row>
    <row r="38" spans="1:14" s="184" customFormat="1" ht="12.75" customHeight="1" hidden="1">
      <c r="A38" s="13" t="s">
        <v>45</v>
      </c>
      <c r="B38" s="25" t="s">
        <v>94</v>
      </c>
      <c r="C38" s="821">
        <f>137780+6326</f>
        <v>144106</v>
      </c>
      <c r="D38" s="580"/>
      <c r="E38" s="583"/>
      <c r="F38" s="580"/>
      <c r="G38" s="539"/>
      <c r="H38" s="106"/>
      <c r="I38" s="106"/>
      <c r="J38" s="106"/>
      <c r="K38" s="106"/>
      <c r="L38" s="106"/>
      <c r="M38" s="106"/>
      <c r="N38" s="106"/>
    </row>
    <row r="39" spans="1:14" s="184" customFormat="1" ht="12.75" customHeight="1" hidden="1">
      <c r="A39" s="13" t="s">
        <v>46</v>
      </c>
      <c r="B39" s="25" t="s">
        <v>95</v>
      </c>
      <c r="C39" s="821">
        <v>1</v>
      </c>
      <c r="D39" s="580"/>
      <c r="E39" s="583"/>
      <c r="F39" s="580"/>
      <c r="G39" s="539"/>
      <c r="H39" s="106"/>
      <c r="I39" s="106"/>
      <c r="J39" s="106"/>
      <c r="K39" s="106"/>
      <c r="L39" s="106"/>
      <c r="M39" s="106"/>
      <c r="N39" s="106"/>
    </row>
    <row r="40" spans="1:14" s="184" customFormat="1" ht="12.75" customHeight="1" hidden="1">
      <c r="A40" s="13" t="s">
        <v>47</v>
      </c>
      <c r="B40" s="25" t="s">
        <v>40</v>
      </c>
      <c r="C40" s="821">
        <f>11200+131848</f>
        <v>143048</v>
      </c>
      <c r="D40" s="580"/>
      <c r="E40" s="583"/>
      <c r="F40" s="580"/>
      <c r="G40" s="539"/>
      <c r="H40" s="106"/>
      <c r="I40" s="106"/>
      <c r="J40" s="106"/>
      <c r="K40" s="106"/>
      <c r="L40" s="106"/>
      <c r="M40" s="106"/>
      <c r="N40" s="106"/>
    </row>
    <row r="41" spans="1:14" s="184" customFormat="1" ht="12.75" customHeight="1" hidden="1">
      <c r="A41" s="13" t="s">
        <v>48</v>
      </c>
      <c r="B41" s="25" t="s">
        <v>42</v>
      </c>
      <c r="C41" s="821">
        <v>1</v>
      </c>
      <c r="D41" s="580"/>
      <c r="E41" s="583"/>
      <c r="F41" s="580"/>
      <c r="G41" s="539"/>
      <c r="H41" s="106"/>
      <c r="I41" s="106"/>
      <c r="J41" s="106"/>
      <c r="K41" s="106"/>
      <c r="L41" s="106"/>
      <c r="M41" s="106"/>
      <c r="N41" s="106"/>
    </row>
    <row r="42" spans="1:14" s="184" customFormat="1" ht="12.75" customHeight="1" thickBot="1">
      <c r="A42" s="13"/>
      <c r="B42" s="25"/>
      <c r="C42" s="25"/>
      <c r="D42" s="580"/>
      <c r="E42" s="582"/>
      <c r="F42" s="580"/>
      <c r="G42" s="539"/>
      <c r="H42" s="106"/>
      <c r="I42" s="106"/>
      <c r="J42" s="106"/>
      <c r="K42" s="106"/>
      <c r="L42" s="106"/>
      <c r="M42" s="106"/>
      <c r="N42" s="106"/>
    </row>
    <row r="43" spans="1:14" s="353" customFormat="1" ht="13.5" customHeight="1" thickBot="1">
      <c r="A43" s="947" t="s">
        <v>2</v>
      </c>
      <c r="B43" s="948"/>
      <c r="C43" s="38">
        <f>C44+C46+C49+C51+C53</f>
        <v>129320</v>
      </c>
      <c r="D43" s="584"/>
      <c r="F43" s="582"/>
      <c r="G43" s="547"/>
      <c r="H43" s="582"/>
      <c r="I43" s="12"/>
      <c r="J43" s="12"/>
      <c r="K43" s="12"/>
      <c r="L43" s="12"/>
      <c r="M43" s="12"/>
      <c r="N43" s="12"/>
    </row>
    <row r="44" spans="1:7" s="142" customFormat="1" ht="13.5" customHeight="1">
      <c r="A44" s="12" t="s">
        <v>113</v>
      </c>
      <c r="B44" s="404" t="s">
        <v>114</v>
      </c>
      <c r="C44" s="34">
        <f>SUM(C45)</f>
        <v>28500</v>
      </c>
      <c r="D44" s="535"/>
      <c r="E44" s="585"/>
      <c r="F44" s="585"/>
      <c r="G44" s="536"/>
    </row>
    <row r="45" spans="1:7" s="13" customFormat="1" ht="13.5" customHeight="1" hidden="1">
      <c r="A45" s="13" t="s">
        <v>50</v>
      </c>
      <c r="B45" s="13" t="s">
        <v>49</v>
      </c>
      <c r="C45" s="821">
        <v>28500</v>
      </c>
      <c r="D45" s="535"/>
      <c r="E45" s="531"/>
      <c r="F45" s="531"/>
      <c r="G45" s="575"/>
    </row>
    <row r="46" spans="1:7" s="13" customFormat="1" ht="13.5" customHeight="1">
      <c r="A46" s="12" t="s">
        <v>115</v>
      </c>
      <c r="B46" s="12" t="s">
        <v>116</v>
      </c>
      <c r="C46" s="33">
        <f>SUM(C47:C48)</f>
        <v>21800</v>
      </c>
      <c r="D46" s="531"/>
      <c r="E46" s="531"/>
      <c r="F46" s="531"/>
      <c r="G46" s="575"/>
    </row>
    <row r="47" spans="1:7" s="13" customFormat="1" ht="13.5" customHeight="1" hidden="1">
      <c r="A47" s="13" t="s">
        <v>72</v>
      </c>
      <c r="B47" s="13" t="s">
        <v>73</v>
      </c>
      <c r="C47" s="821">
        <v>4200</v>
      </c>
      <c r="D47" s="531"/>
      <c r="E47" s="531"/>
      <c r="F47" s="531"/>
      <c r="G47" s="575"/>
    </row>
    <row r="48" spans="1:14" s="3" customFormat="1" ht="13.5" hidden="1">
      <c r="A48" s="13" t="s">
        <v>96</v>
      </c>
      <c r="B48" s="107" t="s">
        <v>71</v>
      </c>
      <c r="C48" s="821">
        <v>17600</v>
      </c>
      <c r="D48" s="586"/>
      <c r="E48" s="531"/>
      <c r="F48" s="531"/>
      <c r="G48" s="1"/>
      <c r="H48" s="1"/>
      <c r="I48" s="1"/>
      <c r="J48" s="1"/>
      <c r="K48" s="1"/>
      <c r="L48" s="1"/>
      <c r="M48" s="1"/>
      <c r="N48" s="1"/>
    </row>
    <row r="49" spans="1:14" s="3" customFormat="1" ht="13.5">
      <c r="A49" s="12" t="s">
        <v>117</v>
      </c>
      <c r="B49" s="353" t="s">
        <v>118</v>
      </c>
      <c r="C49" s="26">
        <f>SUM(C50)</f>
        <v>53320</v>
      </c>
      <c r="D49" s="586"/>
      <c r="E49" s="531"/>
      <c r="F49" s="531"/>
      <c r="G49" s="1"/>
      <c r="H49" s="1"/>
      <c r="I49" s="1"/>
      <c r="J49" s="1"/>
      <c r="K49" s="1"/>
      <c r="L49" s="1"/>
      <c r="M49" s="1"/>
      <c r="N49" s="1"/>
    </row>
    <row r="50" spans="1:14" s="3" customFormat="1" ht="13.5" hidden="1">
      <c r="A50" s="13" t="s">
        <v>51</v>
      </c>
      <c r="B50" s="24" t="s">
        <v>52</v>
      </c>
      <c r="C50" s="821">
        <v>53320</v>
      </c>
      <c r="D50" s="586"/>
      <c r="E50" s="531"/>
      <c r="F50" s="531"/>
      <c r="G50" s="587"/>
      <c r="H50" s="1"/>
      <c r="I50" s="1"/>
      <c r="J50" s="1"/>
      <c r="K50" s="1"/>
      <c r="L50" s="1"/>
      <c r="M50" s="1"/>
      <c r="N50" s="1"/>
    </row>
    <row r="51" spans="1:14" s="3" customFormat="1" ht="13.5">
      <c r="A51" s="353" t="s">
        <v>134</v>
      </c>
      <c r="B51" s="26" t="s">
        <v>133</v>
      </c>
      <c r="C51" s="26">
        <f>SUM(C52)</f>
        <v>3450</v>
      </c>
      <c r="D51" s="586"/>
      <c r="E51" s="531"/>
      <c r="F51" s="531"/>
      <c r="G51" s="587"/>
      <c r="H51" s="1"/>
      <c r="I51" s="1"/>
      <c r="J51" s="1"/>
      <c r="K51" s="1"/>
      <c r="L51" s="1"/>
      <c r="M51" s="1"/>
      <c r="N51" s="1"/>
    </row>
    <row r="52" spans="1:14" s="5" customFormat="1" ht="13.5" hidden="1">
      <c r="A52" s="107" t="s">
        <v>103</v>
      </c>
      <c r="B52" s="25" t="s">
        <v>78</v>
      </c>
      <c r="C52" s="821">
        <v>3450</v>
      </c>
      <c r="D52" s="531"/>
      <c r="E52" s="531"/>
      <c r="F52" s="531"/>
      <c r="G52" s="575"/>
      <c r="H52" s="208"/>
      <c r="I52" s="208"/>
      <c r="J52" s="208"/>
      <c r="K52" s="208"/>
      <c r="L52" s="208"/>
      <c r="M52" s="208"/>
      <c r="N52" s="208"/>
    </row>
    <row r="53" spans="1:14" s="5" customFormat="1" ht="13.5">
      <c r="A53" s="353" t="s">
        <v>169</v>
      </c>
      <c r="B53" s="26" t="s">
        <v>135</v>
      </c>
      <c r="C53" s="26">
        <f>SUM(C54:C56)</f>
        <v>22250</v>
      </c>
      <c r="D53" s="531"/>
      <c r="E53" s="531"/>
      <c r="F53" s="531"/>
      <c r="G53" s="575"/>
      <c r="H53" s="208"/>
      <c r="I53" s="208"/>
      <c r="J53" s="208"/>
      <c r="K53" s="208"/>
      <c r="L53" s="208"/>
      <c r="M53" s="208"/>
      <c r="N53" s="208"/>
    </row>
    <row r="54" spans="1:14" s="5" customFormat="1" ht="13.5" hidden="1">
      <c r="A54" s="107" t="s">
        <v>170</v>
      </c>
      <c r="B54" s="25" t="s">
        <v>70</v>
      </c>
      <c r="C54" s="821">
        <v>5650</v>
      </c>
      <c r="D54" s="531"/>
      <c r="E54" s="531"/>
      <c r="F54" s="531"/>
      <c r="G54" s="575"/>
      <c r="H54" s="208"/>
      <c r="I54" s="208"/>
      <c r="J54" s="208"/>
      <c r="K54" s="208"/>
      <c r="L54" s="208"/>
      <c r="M54" s="208"/>
      <c r="N54" s="208"/>
    </row>
    <row r="55" spans="1:14" s="5" customFormat="1" ht="13.5" hidden="1">
      <c r="A55" s="107" t="s">
        <v>171</v>
      </c>
      <c r="B55" s="25" t="s">
        <v>75</v>
      </c>
      <c r="C55" s="821">
        <v>6800</v>
      </c>
      <c r="D55" s="531"/>
      <c r="E55" s="531"/>
      <c r="F55" s="531"/>
      <c r="G55" s="575"/>
      <c r="H55" s="208"/>
      <c r="I55" s="208"/>
      <c r="J55" s="208"/>
      <c r="K55" s="208"/>
      <c r="L55" s="208"/>
      <c r="M55" s="208"/>
      <c r="N55" s="208"/>
    </row>
    <row r="56" spans="1:14" s="3" customFormat="1" ht="13.5" hidden="1">
      <c r="A56" s="107" t="s">
        <v>173</v>
      </c>
      <c r="B56" s="24" t="s">
        <v>135</v>
      </c>
      <c r="C56" s="821">
        <v>9800</v>
      </c>
      <c r="D56" s="588"/>
      <c r="E56" s="531"/>
      <c r="F56" s="531"/>
      <c r="G56" s="587"/>
      <c r="H56" s="1"/>
      <c r="I56" s="1"/>
      <c r="J56" s="1"/>
      <c r="K56" s="1"/>
      <c r="L56" s="1"/>
      <c r="M56" s="1"/>
      <c r="N56" s="1"/>
    </row>
    <row r="57" spans="1:14" s="5" customFormat="1" ht="14.25" thickBot="1">
      <c r="A57" s="107"/>
      <c r="B57" s="25"/>
      <c r="C57" s="24"/>
      <c r="D57" s="535"/>
      <c r="E57" s="531"/>
      <c r="F57" s="531"/>
      <c r="G57" s="575"/>
      <c r="H57" s="208"/>
      <c r="I57" s="208"/>
      <c r="J57" s="208"/>
      <c r="K57" s="208"/>
      <c r="L57" s="208"/>
      <c r="M57" s="208"/>
      <c r="N57" s="208"/>
    </row>
    <row r="58" spans="1:14" s="353" customFormat="1" ht="13.5" customHeight="1" thickBot="1">
      <c r="A58" s="949" t="s">
        <v>3</v>
      </c>
      <c r="B58" s="950"/>
      <c r="C58" s="36">
        <f>+C61+C63+C66+C59</f>
        <v>471550</v>
      </c>
      <c r="D58" s="531"/>
      <c r="E58" s="584"/>
      <c r="F58" s="584"/>
      <c r="G58" s="547"/>
      <c r="H58" s="12"/>
      <c r="I58" s="12"/>
      <c r="J58" s="12"/>
      <c r="K58" s="12"/>
      <c r="L58" s="12"/>
      <c r="M58" s="12"/>
      <c r="N58" s="12"/>
    </row>
    <row r="59" spans="1:6" s="527" customFormat="1" ht="13.5">
      <c r="A59" s="353" t="s">
        <v>120</v>
      </c>
      <c r="B59" s="404" t="s">
        <v>121</v>
      </c>
      <c r="C59" s="34">
        <f>SUM(C60)</f>
        <v>9450</v>
      </c>
      <c r="D59" s="526"/>
      <c r="E59" s="321"/>
      <c r="F59" s="535"/>
    </row>
    <row r="60" spans="1:14" s="3" customFormat="1" ht="13.5" hidden="1">
      <c r="A60" s="107" t="s">
        <v>57</v>
      </c>
      <c r="B60" s="25" t="s">
        <v>18</v>
      </c>
      <c r="C60" s="821">
        <v>9450</v>
      </c>
      <c r="D60" s="15"/>
      <c r="E60" s="172"/>
      <c r="F60" s="531"/>
      <c r="G60" s="587"/>
      <c r="H60" s="1"/>
      <c r="I60" s="1"/>
      <c r="J60" s="1"/>
      <c r="K60" s="1"/>
      <c r="L60" s="1"/>
      <c r="M60" s="1"/>
      <c r="N60" s="1"/>
    </row>
    <row r="61" spans="1:14" s="107" customFormat="1" ht="13.5" customHeight="1">
      <c r="A61" s="12" t="s">
        <v>130</v>
      </c>
      <c r="B61" s="33" t="s">
        <v>131</v>
      </c>
      <c r="C61" s="33">
        <f>SUM(C62)</f>
        <v>5200</v>
      </c>
      <c r="D61" s="531"/>
      <c r="E61" s="531"/>
      <c r="F61" s="531"/>
      <c r="G61" s="539"/>
      <c r="H61" s="25"/>
      <c r="I61" s="13"/>
      <c r="J61" s="13"/>
      <c r="K61" s="13"/>
      <c r="L61" s="13"/>
      <c r="M61" s="13"/>
      <c r="N61" s="13"/>
    </row>
    <row r="62" spans="1:14" s="107" customFormat="1" ht="13.5" customHeight="1" hidden="1">
      <c r="A62" s="13" t="s">
        <v>148</v>
      </c>
      <c r="B62" s="13" t="s">
        <v>77</v>
      </c>
      <c r="C62" s="821">
        <v>5200</v>
      </c>
      <c r="D62" s="531"/>
      <c r="E62" s="531"/>
      <c r="F62" s="531"/>
      <c r="G62" s="539"/>
      <c r="H62" s="25"/>
      <c r="I62" s="13"/>
      <c r="J62" s="13"/>
      <c r="K62" s="13"/>
      <c r="L62" s="13"/>
      <c r="M62" s="13"/>
      <c r="N62" s="13"/>
    </row>
    <row r="63" spans="1:14" s="107" customFormat="1" ht="13.5" customHeight="1">
      <c r="A63" s="353" t="s">
        <v>122</v>
      </c>
      <c r="B63" s="33" t="s">
        <v>175</v>
      </c>
      <c r="C63" s="33">
        <f>SUM(C64:C65)</f>
        <v>126500</v>
      </c>
      <c r="D63" s="531"/>
      <c r="E63" s="531"/>
      <c r="F63" s="531"/>
      <c r="G63" s="539"/>
      <c r="H63" s="25"/>
      <c r="I63" s="13"/>
      <c r="J63" s="13"/>
      <c r="K63" s="13"/>
      <c r="L63" s="13"/>
      <c r="M63" s="13"/>
      <c r="N63" s="13"/>
    </row>
    <row r="64" spans="1:14" s="107" customFormat="1" ht="13.5" customHeight="1" hidden="1">
      <c r="A64" s="107" t="s">
        <v>150</v>
      </c>
      <c r="B64" s="13" t="s">
        <v>149</v>
      </c>
      <c r="C64" s="821">
        <v>4500</v>
      </c>
      <c r="D64" s="531"/>
      <c r="E64" s="531"/>
      <c r="F64" s="531"/>
      <c r="G64" s="539"/>
      <c r="H64" s="25"/>
      <c r="I64" s="13"/>
      <c r="J64" s="13"/>
      <c r="K64" s="13"/>
      <c r="L64" s="13"/>
      <c r="M64" s="13"/>
      <c r="N64" s="13"/>
    </row>
    <row r="65" spans="1:14" s="107" customFormat="1" ht="13.5" customHeight="1" hidden="1">
      <c r="A65" s="107" t="s">
        <v>53</v>
      </c>
      <c r="B65" s="25" t="s">
        <v>97</v>
      </c>
      <c r="C65" s="821">
        <v>122000</v>
      </c>
      <c r="E65" s="530"/>
      <c r="F65" s="172"/>
      <c r="G65" s="589"/>
      <c r="H65" s="536"/>
      <c r="I65" s="13"/>
      <c r="J65" s="13"/>
      <c r="K65" s="13"/>
      <c r="L65" s="13"/>
      <c r="M65" s="13"/>
      <c r="N65" s="13"/>
    </row>
    <row r="66" spans="1:14" s="107" customFormat="1" ht="13.5" customHeight="1">
      <c r="A66" s="353" t="s">
        <v>125</v>
      </c>
      <c r="B66" s="33" t="s">
        <v>8</v>
      </c>
      <c r="C66" s="33">
        <f>SUM(C67:C70)</f>
        <v>330400</v>
      </c>
      <c r="E66" s="530"/>
      <c r="F66" s="531"/>
      <c r="G66" s="539"/>
      <c r="H66" s="531"/>
      <c r="I66" s="13"/>
      <c r="J66" s="13"/>
      <c r="K66" s="13"/>
      <c r="L66" s="13"/>
      <c r="M66" s="13"/>
      <c r="N66" s="13"/>
    </row>
    <row r="67" spans="1:14" s="107" customFormat="1" ht="13.5" customHeight="1" hidden="1">
      <c r="A67" s="107" t="s">
        <v>102</v>
      </c>
      <c r="B67" s="25" t="s">
        <v>8</v>
      </c>
      <c r="C67" s="821">
        <f>97200*2</f>
        <v>194400</v>
      </c>
      <c r="E67" s="531"/>
      <c r="F67" s="531"/>
      <c r="G67" s="539"/>
      <c r="H67" s="539"/>
      <c r="I67" s="13"/>
      <c r="J67" s="13"/>
      <c r="K67" s="13"/>
      <c r="L67" s="13"/>
      <c r="M67" s="13"/>
      <c r="N67" s="13"/>
    </row>
    <row r="68" spans="1:14" s="107" customFormat="1" ht="13.5" customHeight="1" hidden="1">
      <c r="A68" s="107" t="s">
        <v>205</v>
      </c>
      <c r="B68" s="25" t="s">
        <v>54</v>
      </c>
      <c r="C68" s="821">
        <v>16500</v>
      </c>
      <c r="D68" s="531"/>
      <c r="E68" s="531"/>
      <c r="F68" s="531"/>
      <c r="G68" s="539"/>
      <c r="H68" s="13"/>
      <c r="I68" s="13"/>
      <c r="J68" s="13"/>
      <c r="K68" s="13"/>
      <c r="L68" s="13"/>
      <c r="M68" s="13"/>
      <c r="N68" s="13"/>
    </row>
    <row r="69" spans="1:7" s="12" customFormat="1" ht="13.5" customHeight="1" hidden="1">
      <c r="A69" s="107" t="s">
        <v>266</v>
      </c>
      <c r="B69" s="13" t="s">
        <v>265</v>
      </c>
      <c r="C69" s="821">
        <v>100000</v>
      </c>
      <c r="D69" s="531"/>
      <c r="E69" s="531"/>
      <c r="F69" s="531"/>
      <c r="G69" s="539"/>
    </row>
    <row r="70" spans="1:14" s="107" customFormat="1" ht="13.5" customHeight="1" hidden="1">
      <c r="A70" s="107" t="s">
        <v>100</v>
      </c>
      <c r="B70" s="25" t="s">
        <v>7</v>
      </c>
      <c r="C70" s="821">
        <v>19500</v>
      </c>
      <c r="D70" s="531"/>
      <c r="E70" s="530"/>
      <c r="F70" s="531"/>
      <c r="G70" s="539"/>
      <c r="H70" s="13"/>
      <c r="I70" s="13"/>
      <c r="J70" s="25"/>
      <c r="K70" s="13"/>
      <c r="L70" s="13"/>
      <c r="M70" s="13"/>
      <c r="N70" s="13"/>
    </row>
    <row r="71" spans="2:14" s="107" customFormat="1" ht="13.5" customHeight="1" thickBot="1">
      <c r="B71" s="25"/>
      <c r="C71" s="25"/>
      <c r="D71" s="541"/>
      <c r="E71" s="531"/>
      <c r="F71" s="531"/>
      <c r="G71" s="539"/>
      <c r="H71" s="13"/>
      <c r="I71" s="13"/>
      <c r="J71" s="13"/>
      <c r="K71" s="13"/>
      <c r="L71" s="13"/>
      <c r="M71" s="13"/>
      <c r="N71" s="13"/>
    </row>
    <row r="72" spans="1:14" s="353" customFormat="1" ht="13.5" customHeight="1" thickBot="1">
      <c r="A72" s="953" t="s">
        <v>5</v>
      </c>
      <c r="B72" s="954"/>
      <c r="C72" s="37">
        <f>C73</f>
        <v>248000</v>
      </c>
      <c r="D72" s="530"/>
      <c r="E72" s="531"/>
      <c r="F72" s="584"/>
      <c r="G72" s="547"/>
      <c r="H72" s="12"/>
      <c r="I72" s="12"/>
      <c r="J72" s="12"/>
      <c r="K72" s="12"/>
      <c r="L72" s="12"/>
      <c r="M72" s="12"/>
      <c r="N72" s="12"/>
    </row>
    <row r="73" spans="1:10" s="142" customFormat="1" ht="13.5" customHeight="1">
      <c r="A73" s="12" t="s">
        <v>139</v>
      </c>
      <c r="B73" s="404" t="s">
        <v>140</v>
      </c>
      <c r="C73" s="34">
        <f>SUM(C74:C75)</f>
        <v>248000</v>
      </c>
      <c r="G73" s="536"/>
      <c r="H73" s="534"/>
      <c r="I73" s="535"/>
      <c r="J73" s="535"/>
    </row>
    <row r="74" spans="1:11" s="106" customFormat="1" ht="13.5" customHeight="1" hidden="1">
      <c r="A74" s="13" t="s">
        <v>720</v>
      </c>
      <c r="B74" s="13" t="s">
        <v>306</v>
      </c>
      <c r="C74" s="821">
        <v>170000</v>
      </c>
      <c r="G74" s="539"/>
      <c r="H74" s="537"/>
      <c r="I74" s="25"/>
      <c r="J74" s="538"/>
      <c r="K74" s="208"/>
    </row>
    <row r="75" spans="1:14" s="107" customFormat="1" ht="13.5" customHeight="1" hidden="1">
      <c r="A75" s="107" t="s">
        <v>157</v>
      </c>
      <c r="B75" s="25" t="s">
        <v>12</v>
      </c>
      <c r="C75" s="821">
        <v>78000</v>
      </c>
      <c r="F75" s="13"/>
      <c r="G75" s="539"/>
      <c r="H75" s="768"/>
      <c r="I75" s="531"/>
      <c r="J75" s="531"/>
      <c r="K75" s="13"/>
      <c r="L75" s="13"/>
      <c r="M75" s="13"/>
      <c r="N75" s="13"/>
    </row>
    <row r="76" spans="1:11" s="106" customFormat="1" ht="13.5" customHeight="1" thickBot="1">
      <c r="A76" s="13"/>
      <c r="B76" s="13"/>
      <c r="C76" s="25"/>
      <c r="D76" s="590"/>
      <c r="E76" s="25"/>
      <c r="F76" s="538"/>
      <c r="G76" s="539"/>
      <c r="K76" s="208"/>
    </row>
    <row r="77" spans="1:14" s="353" customFormat="1" ht="13.5" customHeight="1" thickBot="1">
      <c r="A77" s="951" t="s">
        <v>4</v>
      </c>
      <c r="B77" s="952"/>
      <c r="C77" s="32">
        <f>C78+C81+C83</f>
        <v>49950</v>
      </c>
      <c r="D77" s="591"/>
      <c r="E77" s="531"/>
      <c r="F77" s="584"/>
      <c r="G77" s="547"/>
      <c r="H77" s="12"/>
      <c r="I77" s="12"/>
      <c r="J77" s="12"/>
      <c r="K77" s="12"/>
      <c r="L77" s="12"/>
      <c r="M77" s="12"/>
      <c r="N77" s="12"/>
    </row>
    <row r="78" spans="1:7" s="142" customFormat="1" ht="13.5" customHeight="1">
      <c r="A78" s="353" t="s">
        <v>126</v>
      </c>
      <c r="B78" s="404" t="s">
        <v>127</v>
      </c>
      <c r="C78" s="34">
        <f>SUM(C79:C80)</f>
        <v>23450</v>
      </c>
      <c r="D78" s="535"/>
      <c r="E78" s="535"/>
      <c r="F78" s="535"/>
      <c r="G78" s="536"/>
    </row>
    <row r="79" spans="1:14" s="5" customFormat="1" ht="13.5" hidden="1">
      <c r="A79" s="107" t="s">
        <v>101</v>
      </c>
      <c r="B79" s="107" t="s">
        <v>152</v>
      </c>
      <c r="C79" s="821">
        <v>10450</v>
      </c>
      <c r="D79" s="530"/>
      <c r="E79" s="530"/>
      <c r="F79" s="531"/>
      <c r="G79" s="575"/>
      <c r="H79" s="208"/>
      <c r="I79" s="208"/>
      <c r="J79" s="208"/>
      <c r="K79" s="208"/>
      <c r="L79" s="208"/>
      <c r="M79" s="208"/>
      <c r="N79" s="208"/>
    </row>
    <row r="80" spans="1:14" s="5" customFormat="1" ht="13.5" hidden="1">
      <c r="A80" s="107" t="s">
        <v>62</v>
      </c>
      <c r="B80" s="107" t="s">
        <v>63</v>
      </c>
      <c r="C80" s="821">
        <v>13000</v>
      </c>
      <c r="D80" s="530"/>
      <c r="E80" s="530"/>
      <c r="F80" s="531"/>
      <c r="G80" s="575"/>
      <c r="H80" s="208"/>
      <c r="I80" s="208"/>
      <c r="J80" s="208"/>
      <c r="K80" s="208"/>
      <c r="L80" s="208"/>
      <c r="M80" s="208"/>
      <c r="N80" s="208"/>
    </row>
    <row r="81" spans="1:14" s="5" customFormat="1" ht="13.5">
      <c r="A81" s="353" t="s">
        <v>142</v>
      </c>
      <c r="B81" s="353" t="s">
        <v>371</v>
      </c>
      <c r="C81" s="33">
        <f>SUM(C82)</f>
        <v>17500</v>
      </c>
      <c r="D81" s="530"/>
      <c r="E81" s="530"/>
      <c r="F81" s="531"/>
      <c r="G81" s="575"/>
      <c r="H81" s="208"/>
      <c r="I81" s="208"/>
      <c r="J81" s="208"/>
      <c r="K81" s="208"/>
      <c r="L81" s="208"/>
      <c r="M81" s="208"/>
      <c r="N81" s="208"/>
    </row>
    <row r="82" spans="1:14" s="5" customFormat="1" ht="13.5" hidden="1">
      <c r="A82" s="107" t="s">
        <v>185</v>
      </c>
      <c r="B82" s="107" t="s">
        <v>371</v>
      </c>
      <c r="C82" s="821">
        <v>17500</v>
      </c>
      <c r="D82" s="531"/>
      <c r="E82" s="530"/>
      <c r="F82" s="531"/>
      <c r="G82" s="575"/>
      <c r="H82" s="208"/>
      <c r="I82" s="208"/>
      <c r="J82" s="208"/>
      <c r="K82" s="208"/>
      <c r="L82" s="208"/>
      <c r="M82" s="208"/>
      <c r="N82" s="208"/>
    </row>
    <row r="83" spans="1:14" s="5" customFormat="1" ht="13.5">
      <c r="A83" s="353" t="s">
        <v>188</v>
      </c>
      <c r="B83" s="26" t="s">
        <v>145</v>
      </c>
      <c r="C83" s="33">
        <f>SUM(C84)</f>
        <v>9000</v>
      </c>
      <c r="D83" s="530"/>
      <c r="E83" s="530"/>
      <c r="F83" s="531"/>
      <c r="G83" s="575"/>
      <c r="H83" s="208"/>
      <c r="I83" s="208"/>
      <c r="J83" s="208"/>
      <c r="K83" s="208"/>
      <c r="L83" s="208"/>
      <c r="M83" s="208"/>
      <c r="N83" s="208"/>
    </row>
    <row r="84" spans="1:14" s="5" customFormat="1" ht="13.5" hidden="1">
      <c r="A84" s="107" t="s">
        <v>189</v>
      </c>
      <c r="B84" s="24" t="s">
        <v>56</v>
      </c>
      <c r="C84" s="821">
        <v>9000</v>
      </c>
      <c r="D84" s="530"/>
      <c r="E84" s="530"/>
      <c r="F84" s="531"/>
      <c r="G84" s="575"/>
      <c r="H84" s="208"/>
      <c r="I84" s="208"/>
      <c r="J84" s="208"/>
      <c r="K84" s="208"/>
      <c r="L84" s="208"/>
      <c r="M84" s="208"/>
      <c r="N84" s="208"/>
    </row>
    <row r="85" spans="1:7" s="208" customFormat="1" ht="13.5">
      <c r="A85" s="13"/>
      <c r="B85" s="25"/>
      <c r="C85" s="25"/>
      <c r="D85" s="531"/>
      <c r="E85" s="531"/>
      <c r="F85" s="531"/>
      <c r="G85" s="575"/>
    </row>
    <row r="86" spans="1:7" s="208" customFormat="1" ht="14.25" thickBot="1">
      <c r="A86" s="13"/>
      <c r="B86" s="25"/>
      <c r="C86" s="25"/>
      <c r="D86" s="531"/>
      <c r="E86" s="531"/>
      <c r="F86" s="531"/>
      <c r="G86" s="575"/>
    </row>
    <row r="87" spans="1:6" s="1" customFormat="1" ht="13.5">
      <c r="A87" s="64" t="s">
        <v>721</v>
      </c>
      <c r="B87" s="221"/>
      <c r="C87" s="65"/>
      <c r="D87" s="67" t="s">
        <v>6</v>
      </c>
      <c r="E87" s="516" t="s">
        <v>722</v>
      </c>
      <c r="F87" s="523"/>
    </row>
    <row r="88" spans="1:6" s="1" customFormat="1" ht="14.25" thickBot="1">
      <c r="A88" s="45"/>
      <c r="B88" s="208"/>
      <c r="C88" s="172"/>
      <c r="D88" s="447"/>
      <c r="E88" s="542"/>
      <c r="F88" s="523"/>
    </row>
    <row r="89" spans="1:6" s="1" customFormat="1" ht="13.5">
      <c r="A89" s="64" t="s">
        <v>723</v>
      </c>
      <c r="B89" s="221"/>
      <c r="C89" s="65"/>
      <c r="D89" s="65"/>
      <c r="E89" s="449"/>
      <c r="F89" s="523"/>
    </row>
    <row r="90" spans="1:6" s="1" customFormat="1" ht="13.5">
      <c r="A90" s="45" t="s">
        <v>724</v>
      </c>
      <c r="B90" s="208"/>
      <c r="C90" s="172"/>
      <c r="D90" s="172"/>
      <c r="E90" s="450"/>
      <c r="F90" s="523"/>
    </row>
    <row r="91" spans="1:6" s="1" customFormat="1" ht="13.5">
      <c r="A91" s="45" t="s">
        <v>725</v>
      </c>
      <c r="B91" s="208"/>
      <c r="C91" s="172"/>
      <c r="D91" s="577"/>
      <c r="E91" s="450"/>
      <c r="F91" s="523"/>
    </row>
    <row r="92" spans="1:6" s="1" customFormat="1" ht="13.5">
      <c r="A92" s="45" t="s">
        <v>726</v>
      </c>
      <c r="B92" s="208"/>
      <c r="C92" s="172"/>
      <c r="D92" s="577"/>
      <c r="E92" s="450"/>
      <c r="F92" s="523"/>
    </row>
    <row r="93" spans="1:6" s="1" customFormat="1" ht="13.5">
      <c r="A93" s="45" t="s">
        <v>727</v>
      </c>
      <c r="B93" s="208"/>
      <c r="C93" s="172"/>
      <c r="D93" s="577"/>
      <c r="E93" s="450"/>
      <c r="F93" s="523"/>
    </row>
    <row r="94" spans="1:6" s="1" customFormat="1" ht="13.5">
      <c r="A94" s="45" t="s">
        <v>728</v>
      </c>
      <c r="B94" s="208"/>
      <c r="C94" s="172"/>
      <c r="D94" s="577"/>
      <c r="E94" s="450"/>
      <c r="F94" s="523"/>
    </row>
    <row r="95" spans="1:6" s="1" customFormat="1" ht="13.5">
      <c r="A95" s="45" t="s">
        <v>729</v>
      </c>
      <c r="B95" s="208"/>
      <c r="C95" s="172"/>
      <c r="D95" s="577"/>
      <c r="E95" s="450"/>
      <c r="F95" s="523"/>
    </row>
    <row r="96" spans="1:7" s="208" customFormat="1" ht="13.5" customHeight="1">
      <c r="A96" s="45" t="s">
        <v>730</v>
      </c>
      <c r="C96" s="172"/>
      <c r="D96" s="577"/>
      <c r="E96" s="450"/>
      <c r="F96" s="211"/>
      <c r="G96" s="575"/>
    </row>
    <row r="97" spans="1:7" s="208" customFormat="1" ht="13.5" customHeight="1">
      <c r="A97" s="45" t="s">
        <v>731</v>
      </c>
      <c r="C97" s="172"/>
      <c r="D97" s="577"/>
      <c r="E97" s="450"/>
      <c r="F97" s="211"/>
      <c r="G97" s="575"/>
    </row>
    <row r="98" spans="1:7" s="208" customFormat="1" ht="13.5" customHeight="1" thickBot="1">
      <c r="A98" s="49" t="s">
        <v>732</v>
      </c>
      <c r="B98" s="205"/>
      <c r="C98" s="119"/>
      <c r="D98" s="136"/>
      <c r="E98" s="452"/>
      <c r="F98" s="211"/>
      <c r="G98" s="575"/>
    </row>
    <row r="99" spans="1:5" s="1" customFormat="1" ht="13.5">
      <c r="A99" s="52" t="s">
        <v>1365</v>
      </c>
      <c r="B99" s="13"/>
      <c r="C99" s="25"/>
      <c r="D99" s="25"/>
      <c r="E99" s="453"/>
    </row>
    <row r="100" spans="1:5" s="13" customFormat="1" ht="13.5" customHeight="1">
      <c r="A100" s="52" t="s">
        <v>716</v>
      </c>
      <c r="B100" s="52"/>
      <c r="C100" s="25"/>
      <c r="D100" s="23"/>
      <c r="E100" s="453"/>
    </row>
    <row r="101" spans="1:5" s="13" customFormat="1" ht="13.5" customHeight="1">
      <c r="A101" s="52" t="s">
        <v>1421</v>
      </c>
      <c r="B101" s="52"/>
      <c r="C101" s="25"/>
      <c r="D101" s="23"/>
      <c r="E101" s="453"/>
    </row>
    <row r="102" spans="1:7" s="13" customFormat="1" ht="13.5" customHeight="1" thickBot="1">
      <c r="A102" s="111" t="s">
        <v>11</v>
      </c>
      <c r="B102" s="111"/>
      <c r="C102" s="556"/>
      <c r="D102" s="578"/>
      <c r="E102" s="557"/>
      <c r="F102" s="306"/>
      <c r="G102" s="539"/>
    </row>
    <row r="103" spans="1:7" s="1" customFormat="1" ht="14.25" thickBot="1">
      <c r="A103" s="54" t="s">
        <v>17</v>
      </c>
      <c r="B103" s="192"/>
      <c r="C103" s="55"/>
      <c r="D103" s="191"/>
      <c r="E103" s="161">
        <f>C105+C116+C127+C133</f>
        <v>2248730</v>
      </c>
      <c r="F103" s="593"/>
      <c r="G103" s="15"/>
    </row>
    <row r="104" spans="1:7" s="1" customFormat="1" ht="14.25" thickBot="1">
      <c r="A104" s="12"/>
      <c r="B104" s="12"/>
      <c r="C104" s="33"/>
      <c r="D104" s="33"/>
      <c r="F104" s="522"/>
      <c r="G104" s="15"/>
    </row>
    <row r="105" spans="1:14" s="3" customFormat="1" ht="14.25" thickBot="1">
      <c r="A105" s="947" t="s">
        <v>2</v>
      </c>
      <c r="B105" s="948"/>
      <c r="C105" s="38">
        <f>C106+C108+C110+C112</f>
        <v>99870</v>
      </c>
      <c r="D105" s="19"/>
      <c r="F105" s="522"/>
      <c r="G105" s="1"/>
      <c r="H105" s="1"/>
      <c r="I105" s="1"/>
      <c r="J105" s="1"/>
      <c r="K105" s="1"/>
      <c r="L105" s="1"/>
      <c r="M105" s="1"/>
      <c r="N105" s="1"/>
    </row>
    <row r="106" spans="1:6" s="527" customFormat="1" ht="13.5">
      <c r="A106" s="12" t="s">
        <v>113</v>
      </c>
      <c r="B106" s="404" t="s">
        <v>114</v>
      </c>
      <c r="C106" s="34">
        <f>SUM(C107)</f>
        <v>49000</v>
      </c>
      <c r="D106" s="526"/>
      <c r="F106" s="522"/>
    </row>
    <row r="107" spans="1:14" s="3" customFormat="1" ht="13.5" hidden="1">
      <c r="A107" s="13" t="s">
        <v>50</v>
      </c>
      <c r="B107" s="13" t="s">
        <v>49</v>
      </c>
      <c r="C107" s="821">
        <v>49000</v>
      </c>
      <c r="D107" s="15"/>
      <c r="E107" s="172"/>
      <c r="F107" s="531"/>
      <c r="G107" s="587"/>
      <c r="H107" s="1"/>
      <c r="I107" s="1"/>
      <c r="J107" s="1"/>
      <c r="K107" s="1"/>
      <c r="L107" s="1"/>
      <c r="M107" s="1"/>
      <c r="N107" s="1"/>
    </row>
    <row r="108" spans="1:14" s="3" customFormat="1" ht="13.5">
      <c r="A108" s="12" t="s">
        <v>115</v>
      </c>
      <c r="B108" s="12" t="s">
        <v>116</v>
      </c>
      <c r="C108" s="33">
        <f>SUM(C109)</f>
        <v>10320</v>
      </c>
      <c r="D108" s="15"/>
      <c r="E108" s="172"/>
      <c r="F108" s="531"/>
      <c r="G108" s="587"/>
      <c r="H108" s="1"/>
      <c r="I108" s="1"/>
      <c r="J108" s="1"/>
      <c r="K108" s="1"/>
      <c r="L108" s="1"/>
      <c r="M108" s="1"/>
      <c r="N108" s="1"/>
    </row>
    <row r="109" spans="1:14" s="3" customFormat="1" ht="13.5" hidden="1">
      <c r="A109" s="13" t="s">
        <v>96</v>
      </c>
      <c r="B109" s="107" t="s">
        <v>71</v>
      </c>
      <c r="C109" s="821">
        <v>10320</v>
      </c>
      <c r="D109" s="404"/>
      <c r="F109" s="208"/>
      <c r="G109" s="1"/>
      <c r="H109" s="1"/>
      <c r="I109" s="1"/>
      <c r="J109" s="1"/>
      <c r="K109" s="1"/>
      <c r="L109" s="1"/>
      <c r="M109" s="1"/>
      <c r="N109" s="1"/>
    </row>
    <row r="110" spans="1:14" s="3" customFormat="1" ht="13.5">
      <c r="A110" s="12" t="s">
        <v>117</v>
      </c>
      <c r="B110" s="353" t="s">
        <v>118</v>
      </c>
      <c r="C110" s="26">
        <f>SUM(C111)</f>
        <v>15850</v>
      </c>
      <c r="D110" s="404"/>
      <c r="F110" s="208"/>
      <c r="G110" s="1"/>
      <c r="H110" s="1"/>
      <c r="I110" s="1"/>
      <c r="J110" s="1"/>
      <c r="K110" s="1"/>
      <c r="L110" s="1"/>
      <c r="M110" s="1"/>
      <c r="N110" s="1"/>
    </row>
    <row r="111" spans="1:14" s="3" customFormat="1" ht="13.5" hidden="1">
      <c r="A111" s="13" t="s">
        <v>51</v>
      </c>
      <c r="B111" s="24" t="s">
        <v>52</v>
      </c>
      <c r="C111" s="821">
        <v>15850</v>
      </c>
      <c r="D111" s="15"/>
      <c r="E111" s="5"/>
      <c r="F111" s="539"/>
      <c r="G111" s="587"/>
      <c r="H111" s="1"/>
      <c r="I111" s="1"/>
      <c r="J111" s="1"/>
      <c r="K111" s="1"/>
      <c r="L111" s="1"/>
      <c r="M111" s="1"/>
      <c r="N111" s="1"/>
    </row>
    <row r="112" spans="1:14" s="3" customFormat="1" ht="13.5">
      <c r="A112" s="353" t="s">
        <v>169</v>
      </c>
      <c r="B112" s="26" t="s">
        <v>135</v>
      </c>
      <c r="C112" s="33">
        <f>SUM(C113:C114)</f>
        <v>24700</v>
      </c>
      <c r="D112" s="15"/>
      <c r="E112" s="404"/>
      <c r="F112" s="539"/>
      <c r="G112" s="587"/>
      <c r="H112" s="1"/>
      <c r="I112" s="1"/>
      <c r="J112" s="1"/>
      <c r="K112" s="1"/>
      <c r="L112" s="1"/>
      <c r="M112" s="1"/>
      <c r="N112" s="1"/>
    </row>
    <row r="113" spans="1:14" s="3" customFormat="1" ht="13.5" hidden="1">
      <c r="A113" s="107" t="s">
        <v>170</v>
      </c>
      <c r="B113" s="25" t="s">
        <v>70</v>
      </c>
      <c r="C113" s="821">
        <v>8900</v>
      </c>
      <c r="D113" s="15"/>
      <c r="E113" s="404"/>
      <c r="F113" s="539"/>
      <c r="G113" s="587"/>
      <c r="H113" s="1"/>
      <c r="I113" s="1"/>
      <c r="J113" s="1"/>
      <c r="K113" s="1"/>
      <c r="L113" s="1"/>
      <c r="M113" s="1"/>
      <c r="N113" s="1"/>
    </row>
    <row r="114" spans="1:14" s="3" customFormat="1" ht="13.5" hidden="1">
      <c r="A114" s="107" t="s">
        <v>173</v>
      </c>
      <c r="B114" s="24" t="s">
        <v>135</v>
      </c>
      <c r="C114" s="821">
        <v>15800</v>
      </c>
      <c r="D114" s="15"/>
      <c r="E114" s="306"/>
      <c r="F114" s="539"/>
      <c r="G114" s="587"/>
      <c r="H114" s="1"/>
      <c r="I114" s="1"/>
      <c r="J114" s="1"/>
      <c r="K114" s="1"/>
      <c r="L114" s="1"/>
      <c r="M114" s="1"/>
      <c r="N114" s="1"/>
    </row>
    <row r="115" spans="1:14" s="3" customFormat="1" ht="14.25" thickBot="1">
      <c r="A115" s="107"/>
      <c r="B115" s="24"/>
      <c r="C115" s="25"/>
      <c r="D115" s="15"/>
      <c r="E115" s="306"/>
      <c r="F115" s="539"/>
      <c r="G115" s="587"/>
      <c r="H115" s="1"/>
      <c r="I115" s="1"/>
      <c r="J115" s="1"/>
      <c r="K115" s="1"/>
      <c r="L115" s="1"/>
      <c r="M115" s="1"/>
      <c r="N115" s="1"/>
    </row>
    <row r="116" spans="1:14" s="3" customFormat="1" ht="14.25" thickBot="1">
      <c r="A116" s="949" t="s">
        <v>3</v>
      </c>
      <c r="B116" s="950"/>
      <c r="C116" s="36">
        <f>C117+C122+C119</f>
        <v>655050</v>
      </c>
      <c r="D116" s="15"/>
      <c r="E116" s="46"/>
      <c r="F116" s="584"/>
      <c r="G116" s="1"/>
      <c r="H116" s="1"/>
      <c r="I116" s="1"/>
      <c r="J116" s="1"/>
      <c r="K116" s="1"/>
      <c r="L116" s="1"/>
      <c r="M116" s="1"/>
      <c r="N116" s="1"/>
    </row>
    <row r="117" spans="1:6" s="527" customFormat="1" ht="13.5">
      <c r="A117" s="353" t="s">
        <v>120</v>
      </c>
      <c r="B117" s="404" t="s">
        <v>121</v>
      </c>
      <c r="C117" s="34">
        <f>SUM(C118)</f>
        <v>68200</v>
      </c>
      <c r="D117" s="526"/>
      <c r="E117" s="321"/>
      <c r="F117" s="535"/>
    </row>
    <row r="118" spans="1:14" s="3" customFormat="1" ht="13.5" hidden="1">
      <c r="A118" s="107" t="s">
        <v>57</v>
      </c>
      <c r="B118" s="25" t="s">
        <v>18</v>
      </c>
      <c r="C118" s="821">
        <v>68200</v>
      </c>
      <c r="D118" s="15"/>
      <c r="E118" s="172"/>
      <c r="F118" s="531"/>
      <c r="G118" s="587"/>
      <c r="H118" s="1"/>
      <c r="I118" s="1"/>
      <c r="J118" s="1"/>
      <c r="K118" s="1"/>
      <c r="L118" s="1"/>
      <c r="M118" s="1"/>
      <c r="N118" s="1"/>
    </row>
    <row r="119" spans="1:14" s="107" customFormat="1" ht="13.5" customHeight="1">
      <c r="A119" s="353" t="s">
        <v>122</v>
      </c>
      <c r="B119" s="33" t="s">
        <v>175</v>
      </c>
      <c r="C119" s="33">
        <f>SUM(C120:C121)</f>
        <v>424300</v>
      </c>
      <c r="D119" s="531"/>
      <c r="E119" s="531"/>
      <c r="F119" s="531"/>
      <c r="G119" s="539"/>
      <c r="H119" s="25"/>
      <c r="I119" s="13"/>
      <c r="J119" s="13"/>
      <c r="K119" s="13"/>
      <c r="L119" s="13"/>
      <c r="M119" s="13"/>
      <c r="N119" s="13"/>
    </row>
    <row r="120" spans="1:14" s="107" customFormat="1" ht="13.5" customHeight="1" hidden="1">
      <c r="A120" s="107" t="s">
        <v>150</v>
      </c>
      <c r="B120" s="13" t="s">
        <v>149</v>
      </c>
      <c r="C120" s="821">
        <v>7000</v>
      </c>
      <c r="D120" s="531"/>
      <c r="E120" s="530"/>
      <c r="F120" s="531"/>
      <c r="G120" s="539"/>
      <c r="H120" s="25"/>
      <c r="I120" s="13"/>
      <c r="J120" s="13"/>
      <c r="K120" s="13"/>
      <c r="L120" s="13"/>
      <c r="M120" s="13"/>
      <c r="N120" s="13"/>
    </row>
    <row r="121" spans="1:14" s="107" customFormat="1" ht="13.5" customHeight="1" hidden="1">
      <c r="A121" s="107" t="s">
        <v>53</v>
      </c>
      <c r="B121" s="25" t="s">
        <v>97</v>
      </c>
      <c r="C121" s="821">
        <f>295300+122000</f>
        <v>417300</v>
      </c>
      <c r="E121" s="530"/>
      <c r="F121" s="172"/>
      <c r="G121" s="589"/>
      <c r="H121" s="536"/>
      <c r="I121" s="13"/>
      <c r="J121" s="13"/>
      <c r="K121" s="13"/>
      <c r="L121" s="13"/>
      <c r="M121" s="13"/>
      <c r="N121" s="13"/>
    </row>
    <row r="122" spans="1:14" s="3" customFormat="1" ht="13.5">
      <c r="A122" s="353" t="s">
        <v>125</v>
      </c>
      <c r="B122" s="33" t="s">
        <v>8</v>
      </c>
      <c r="C122" s="33">
        <f>SUM(C123:C125)</f>
        <v>162550</v>
      </c>
      <c r="D122" s="15"/>
      <c r="E122" s="15"/>
      <c r="F122" s="586"/>
      <c r="G122" s="587"/>
      <c r="H122" s="1"/>
      <c r="I122" s="1"/>
      <c r="J122" s="1"/>
      <c r="K122" s="1"/>
      <c r="L122" s="1"/>
      <c r="M122" s="1"/>
      <c r="N122" s="1"/>
    </row>
    <row r="123" spans="1:14" s="3" customFormat="1" ht="13.5" hidden="1">
      <c r="A123" s="107" t="s">
        <v>733</v>
      </c>
      <c r="B123" s="25" t="s">
        <v>8</v>
      </c>
      <c r="C123" s="821">
        <f>97200+11400</f>
        <v>108600</v>
      </c>
      <c r="D123" s="541"/>
      <c r="E123" s="531"/>
      <c r="F123" s="586"/>
      <c r="G123" s="539"/>
      <c r="H123" s="1"/>
      <c r="I123" s="1"/>
      <c r="J123" s="1"/>
      <c r="K123" s="1"/>
      <c r="L123" s="1"/>
      <c r="M123" s="1"/>
      <c r="N123" s="1"/>
    </row>
    <row r="124" spans="1:14" s="107" customFormat="1" ht="13.5" customHeight="1" hidden="1">
      <c r="A124" s="107" t="s">
        <v>205</v>
      </c>
      <c r="B124" s="25" t="s">
        <v>54</v>
      </c>
      <c r="C124" s="821">
        <v>9750</v>
      </c>
      <c r="D124" s="531"/>
      <c r="E124" s="531"/>
      <c r="F124" s="531"/>
      <c r="G124" s="208"/>
      <c r="H124" s="13"/>
      <c r="I124" s="13"/>
      <c r="J124" s="13"/>
      <c r="K124" s="13"/>
      <c r="L124" s="13"/>
      <c r="M124" s="13"/>
      <c r="N124" s="13"/>
    </row>
    <row r="125" spans="1:14" s="3" customFormat="1" ht="13.5" hidden="1">
      <c r="A125" s="107" t="s">
        <v>100</v>
      </c>
      <c r="B125" s="25" t="s">
        <v>7</v>
      </c>
      <c r="C125" s="821">
        <v>44200</v>
      </c>
      <c r="D125" s="543"/>
      <c r="E125" s="15"/>
      <c r="F125" s="586"/>
      <c r="G125" s="587"/>
      <c r="H125" s="1"/>
      <c r="I125" s="1"/>
      <c r="J125" s="1"/>
      <c r="K125" s="1"/>
      <c r="L125" s="1"/>
      <c r="M125" s="1"/>
      <c r="N125" s="1"/>
    </row>
    <row r="126" spans="1:14" s="3" customFormat="1" ht="14.25" thickBot="1">
      <c r="A126" s="107"/>
      <c r="B126" s="25"/>
      <c r="C126" s="24"/>
      <c r="D126" s="541"/>
      <c r="E126" s="19"/>
      <c r="F126" s="586"/>
      <c r="G126" s="539"/>
      <c r="H126" s="1"/>
      <c r="I126" s="1"/>
      <c r="J126" s="1"/>
      <c r="K126" s="1"/>
      <c r="L126" s="1"/>
      <c r="M126" s="1"/>
      <c r="N126" s="1"/>
    </row>
    <row r="127" spans="1:14" s="3" customFormat="1" ht="14.25" thickBot="1">
      <c r="A127" s="953" t="s">
        <v>5</v>
      </c>
      <c r="B127" s="954"/>
      <c r="C127" s="37">
        <f>C128</f>
        <v>1469760</v>
      </c>
      <c r="E127" s="569"/>
      <c r="F127" s="584"/>
      <c r="G127" s="1"/>
      <c r="H127" s="15"/>
      <c r="I127" s="1"/>
      <c r="J127" s="1"/>
      <c r="K127" s="1"/>
      <c r="L127" s="1"/>
      <c r="M127" s="1"/>
      <c r="N127" s="1"/>
    </row>
    <row r="128" spans="1:8" s="527" customFormat="1" ht="13.5">
      <c r="A128" s="12" t="s">
        <v>139</v>
      </c>
      <c r="B128" s="404" t="s">
        <v>140</v>
      </c>
      <c r="C128" s="34">
        <f>SUM(C129:C131)</f>
        <v>1469760</v>
      </c>
      <c r="E128" s="321"/>
      <c r="F128" s="535"/>
      <c r="H128" s="526"/>
    </row>
    <row r="129" spans="1:14" s="3" customFormat="1" ht="13.5" hidden="1">
      <c r="A129" s="107" t="s">
        <v>734</v>
      </c>
      <c r="B129" s="107" t="s">
        <v>735</v>
      </c>
      <c r="C129" s="821">
        <f>17000*12*1.2</f>
        <v>244800</v>
      </c>
      <c r="E129" s="172"/>
      <c r="F129" s="586"/>
      <c r="G129" s="1"/>
      <c r="H129" s="595"/>
      <c r="I129" s="1"/>
      <c r="J129" s="1"/>
      <c r="K129" s="1"/>
      <c r="L129" s="1"/>
      <c r="M129" s="1"/>
      <c r="N129" s="1"/>
    </row>
    <row r="130" spans="1:8" s="1" customFormat="1" ht="13.5" hidden="1">
      <c r="A130" s="13" t="s">
        <v>363</v>
      </c>
      <c r="B130" s="13" t="s">
        <v>364</v>
      </c>
      <c r="C130" s="821">
        <f>18400*12*1.2+1044000-120000</f>
        <v>1188960</v>
      </c>
      <c r="E130" s="172"/>
      <c r="F130" s="586"/>
      <c r="H130" s="595"/>
    </row>
    <row r="131" spans="1:14" s="3" customFormat="1" ht="13.5" hidden="1">
      <c r="A131" s="107" t="s">
        <v>157</v>
      </c>
      <c r="B131" s="107" t="s">
        <v>12</v>
      </c>
      <c r="C131" s="821">
        <v>36000</v>
      </c>
      <c r="D131" s="432"/>
      <c r="E131" s="5"/>
      <c r="F131" s="586"/>
      <c r="G131" s="1"/>
      <c r="H131" s="1"/>
      <c r="I131" s="1"/>
      <c r="J131" s="1"/>
      <c r="K131" s="1"/>
      <c r="L131" s="1"/>
      <c r="M131" s="1"/>
      <c r="N131" s="1"/>
    </row>
    <row r="132" spans="1:14" s="3" customFormat="1" ht="14.25" thickBot="1">
      <c r="A132" s="107"/>
      <c r="B132" s="107"/>
      <c r="C132" s="25"/>
      <c r="D132" s="432"/>
      <c r="E132" s="22"/>
      <c r="F132" s="586"/>
      <c r="G132" s="1"/>
      <c r="H132" s="1"/>
      <c r="I132" s="1"/>
      <c r="J132" s="1"/>
      <c r="K132" s="1"/>
      <c r="L132" s="1"/>
      <c r="M132" s="1"/>
      <c r="N132" s="1"/>
    </row>
    <row r="133" spans="1:16" s="3" customFormat="1" ht="14.25" thickBot="1">
      <c r="A133" s="951" t="s">
        <v>4</v>
      </c>
      <c r="B133" s="952"/>
      <c r="C133" s="32">
        <f>C134+C136</f>
        <v>24050</v>
      </c>
      <c r="D133" s="596"/>
      <c r="E133" s="46"/>
      <c r="F133" s="584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6" s="527" customFormat="1" ht="13.5">
      <c r="A134" s="353" t="s">
        <v>126</v>
      </c>
      <c r="B134" s="404" t="s">
        <v>127</v>
      </c>
      <c r="C134" s="34">
        <f>SUM(C135)</f>
        <v>15250</v>
      </c>
      <c r="D134" s="526"/>
      <c r="E134" s="321"/>
      <c r="F134" s="535"/>
    </row>
    <row r="135" spans="1:14" s="3" customFormat="1" ht="13.5" hidden="1">
      <c r="A135" s="107" t="s">
        <v>101</v>
      </c>
      <c r="B135" s="107" t="s">
        <v>152</v>
      </c>
      <c r="C135" s="821">
        <v>15250</v>
      </c>
      <c r="D135" s="19"/>
      <c r="E135" s="19"/>
      <c r="F135" s="586"/>
      <c r="G135" s="587"/>
      <c r="H135" s="1"/>
      <c r="I135" s="1"/>
      <c r="J135" s="1"/>
      <c r="K135" s="1"/>
      <c r="L135" s="1"/>
      <c r="M135" s="1"/>
      <c r="N135" s="1"/>
    </row>
    <row r="136" spans="1:14" s="3" customFormat="1" ht="13.5">
      <c r="A136" s="353" t="s">
        <v>188</v>
      </c>
      <c r="B136" s="26" t="s">
        <v>145</v>
      </c>
      <c r="C136" s="33">
        <f>SUM(C137)</f>
        <v>8800</v>
      </c>
      <c r="D136" s="19"/>
      <c r="E136" s="19"/>
      <c r="F136" s="586"/>
      <c r="G136" s="587"/>
      <c r="H136" s="1"/>
      <c r="I136" s="1"/>
      <c r="J136" s="1"/>
      <c r="K136" s="1"/>
      <c r="L136" s="1"/>
      <c r="M136" s="1"/>
      <c r="N136" s="1"/>
    </row>
    <row r="137" spans="1:14" s="3" customFormat="1" ht="13.5" hidden="1">
      <c r="A137" s="107" t="s">
        <v>189</v>
      </c>
      <c r="B137" s="24" t="s">
        <v>56</v>
      </c>
      <c r="C137" s="821">
        <v>8800</v>
      </c>
      <c r="D137" s="19"/>
      <c r="E137" s="19"/>
      <c r="F137" s="586"/>
      <c r="G137" s="1"/>
      <c r="H137" s="1"/>
      <c r="I137" s="1"/>
      <c r="J137" s="1"/>
      <c r="K137" s="1"/>
      <c r="L137" s="1"/>
      <c r="M137" s="1"/>
      <c r="N137" s="1"/>
    </row>
    <row r="138" spans="3:14" s="3" customFormat="1" ht="13.5">
      <c r="C138" s="15"/>
      <c r="D138" s="29"/>
      <c r="E138" s="29"/>
      <c r="F138" s="523"/>
      <c r="G138" s="1"/>
      <c r="H138" s="1"/>
      <c r="I138" s="1"/>
      <c r="J138" s="1"/>
      <c r="K138" s="1"/>
      <c r="L138" s="1"/>
      <c r="M138" s="1"/>
      <c r="N138" s="1"/>
    </row>
    <row r="139" spans="1:6" ht="13.5" customHeight="1" thickBot="1">
      <c r="A139" s="597"/>
      <c r="B139" s="597"/>
      <c r="C139" s="24"/>
      <c r="D139" s="598"/>
      <c r="E139" s="599"/>
      <c r="F139" s="599"/>
    </row>
    <row r="140" spans="1:7" s="1" customFormat="1" ht="13.5" customHeight="1">
      <c r="A140" s="64" t="s">
        <v>736</v>
      </c>
      <c r="B140" s="221"/>
      <c r="C140" s="65"/>
      <c r="D140" s="67" t="s">
        <v>6</v>
      </c>
      <c r="E140" s="44">
        <v>1503</v>
      </c>
      <c r="F140" s="600"/>
      <c r="G140" s="587"/>
    </row>
    <row r="141" spans="1:7" s="1" customFormat="1" ht="13.5" customHeight="1" thickBot="1">
      <c r="A141" s="49"/>
      <c r="B141" s="205"/>
      <c r="C141" s="119"/>
      <c r="D141" s="121"/>
      <c r="E141" s="120"/>
      <c r="F141" s="600"/>
      <c r="G141" s="587"/>
    </row>
    <row r="142" spans="1:5" s="1" customFormat="1" ht="13.5" customHeight="1">
      <c r="A142" s="45" t="s">
        <v>737</v>
      </c>
      <c r="B142" s="208"/>
      <c r="C142" s="172"/>
      <c r="D142" s="577"/>
      <c r="E142" s="450"/>
    </row>
    <row r="143" spans="1:5" s="1" customFormat="1" ht="13.5" customHeight="1">
      <c r="A143" s="45" t="s">
        <v>738</v>
      </c>
      <c r="B143" s="208"/>
      <c r="C143" s="172"/>
      <c r="D143" s="577"/>
      <c r="E143" s="450"/>
    </row>
    <row r="144" spans="1:5" s="1" customFormat="1" ht="13.5" customHeight="1">
      <c r="A144" s="45" t="s">
        <v>739</v>
      </c>
      <c r="B144" s="208"/>
      <c r="C144" s="172"/>
      <c r="D144" s="577"/>
      <c r="E144" s="450"/>
    </row>
    <row r="145" spans="1:5" s="1" customFormat="1" ht="13.5" customHeight="1">
      <c r="A145" s="45" t="s">
        <v>740</v>
      </c>
      <c r="B145" s="208"/>
      <c r="C145" s="172"/>
      <c r="D145" s="577"/>
      <c r="E145" s="450"/>
    </row>
    <row r="146" spans="1:5" s="1" customFormat="1" ht="13.5" customHeight="1">
      <c r="A146" s="45" t="s">
        <v>741</v>
      </c>
      <c r="B146" s="208"/>
      <c r="C146" s="172"/>
      <c r="D146" s="577"/>
      <c r="E146" s="450"/>
    </row>
    <row r="147" spans="1:5" s="1" customFormat="1" ht="13.5" customHeight="1">
      <c r="A147" s="45" t="s">
        <v>742</v>
      </c>
      <c r="B147" s="208"/>
      <c r="C147" s="172"/>
      <c r="D147" s="577"/>
      <c r="E147" s="450"/>
    </row>
    <row r="148" spans="1:5" s="1" customFormat="1" ht="13.5" customHeight="1">
      <c r="A148" s="45" t="s">
        <v>743</v>
      </c>
      <c r="B148" s="208"/>
      <c r="C148" s="172"/>
      <c r="D148" s="577"/>
      <c r="E148" s="450"/>
    </row>
    <row r="149" spans="1:5" s="1" customFormat="1" ht="13.5" customHeight="1">
      <c r="A149" s="45" t="s">
        <v>744</v>
      </c>
      <c r="B149" s="208"/>
      <c r="C149" s="172"/>
      <c r="D149" s="577"/>
      <c r="E149" s="450"/>
    </row>
    <row r="150" spans="1:5" s="1" customFormat="1" ht="13.5" customHeight="1">
      <c r="A150" s="45" t="s">
        <v>745</v>
      </c>
      <c r="B150" s="208"/>
      <c r="C150" s="172"/>
      <c r="D150" s="577"/>
      <c r="E150" s="450"/>
    </row>
    <row r="151" spans="1:5" s="1" customFormat="1" ht="13.5" customHeight="1" thickBot="1">
      <c r="A151" s="45" t="s">
        <v>746</v>
      </c>
      <c r="B151" s="208"/>
      <c r="C151" s="172"/>
      <c r="D151" s="577"/>
      <c r="E151" s="450"/>
    </row>
    <row r="152" spans="1:5" s="13" customFormat="1" ht="13.5" customHeight="1">
      <c r="A152" s="169" t="s">
        <v>1365</v>
      </c>
      <c r="B152" s="169"/>
      <c r="C152" s="601"/>
      <c r="D152" s="602"/>
      <c r="E152" s="603"/>
    </row>
    <row r="153" spans="1:5" s="13" customFormat="1" ht="13.5" customHeight="1">
      <c r="A153" s="52" t="s">
        <v>747</v>
      </c>
      <c r="B153" s="52"/>
      <c r="C153" s="25"/>
      <c r="D153" s="23"/>
      <c r="E153" s="453"/>
    </row>
    <row r="154" spans="1:5" s="13" customFormat="1" ht="13.5" customHeight="1">
      <c r="A154" s="52" t="s">
        <v>1421</v>
      </c>
      <c r="B154" s="52"/>
      <c r="C154" s="25"/>
      <c r="D154" s="23"/>
      <c r="E154" s="453"/>
    </row>
    <row r="155" spans="1:5" s="13" customFormat="1" ht="13.5" customHeight="1" thickBot="1">
      <c r="A155" s="111" t="s">
        <v>11</v>
      </c>
      <c r="B155" s="111"/>
      <c r="C155" s="556"/>
      <c r="D155" s="578"/>
      <c r="E155" s="557"/>
    </row>
    <row r="156" spans="1:6" s="13" customFormat="1" ht="13.5" customHeight="1" thickBot="1">
      <c r="A156" s="113" t="s">
        <v>0</v>
      </c>
      <c r="B156" s="113"/>
      <c r="C156" s="556"/>
      <c r="D156" s="114"/>
      <c r="E156" s="112">
        <f>+C158+C177+C195</f>
        <v>8936820</v>
      </c>
      <c r="F156" s="23"/>
    </row>
    <row r="157" spans="1:6" ht="13.5" customHeight="1" thickBot="1">
      <c r="A157" s="107"/>
      <c r="B157" s="107"/>
      <c r="C157" s="24"/>
      <c r="D157" s="23"/>
      <c r="E157" s="11"/>
      <c r="F157" s="522"/>
    </row>
    <row r="158" spans="1:14" s="353" customFormat="1" ht="13.5" customHeight="1" thickBot="1">
      <c r="A158" s="947" t="s">
        <v>2</v>
      </c>
      <c r="B158" s="948"/>
      <c r="C158" s="38">
        <f>C159+C161+C164+C166+C169+C171</f>
        <v>2717510</v>
      </c>
      <c r="D158" s="535"/>
      <c r="F158" s="522"/>
      <c r="G158" s="12"/>
      <c r="H158" s="12"/>
      <c r="I158" s="12"/>
      <c r="J158" s="12"/>
      <c r="K158" s="12"/>
      <c r="L158" s="12"/>
      <c r="M158" s="12"/>
      <c r="N158" s="12"/>
    </row>
    <row r="159" spans="1:8" s="142" customFormat="1" ht="13.5" customHeight="1">
      <c r="A159" s="12" t="s">
        <v>113</v>
      </c>
      <c r="B159" s="404" t="s">
        <v>114</v>
      </c>
      <c r="C159" s="34">
        <f>SUM(C160)</f>
        <v>2274260</v>
      </c>
      <c r="D159" s="535"/>
      <c r="F159" s="522"/>
      <c r="H159" s="13"/>
    </row>
    <row r="160" spans="1:8" s="13" customFormat="1" ht="13.5" customHeight="1" hidden="1">
      <c r="A160" s="13" t="s">
        <v>50</v>
      </c>
      <c r="B160" s="13" t="s">
        <v>49</v>
      </c>
      <c r="C160" s="821">
        <f>2424260-150000</f>
        <v>2274260</v>
      </c>
      <c r="H160" s="208"/>
    </row>
    <row r="161" spans="1:8" s="13" customFormat="1" ht="13.5" customHeight="1">
      <c r="A161" s="12" t="s">
        <v>223</v>
      </c>
      <c r="B161" s="12" t="s">
        <v>256</v>
      </c>
      <c r="C161" s="33">
        <f>SUM(C162:C163)</f>
        <v>34410</v>
      </c>
      <c r="H161" s="208"/>
    </row>
    <row r="162" spans="1:8" s="13" customFormat="1" ht="13.5" customHeight="1" hidden="1">
      <c r="A162" s="13" t="s">
        <v>221</v>
      </c>
      <c r="B162" s="13" t="s">
        <v>748</v>
      </c>
      <c r="C162" s="821">
        <v>23160</v>
      </c>
      <c r="H162" s="208"/>
    </row>
    <row r="163" spans="1:8" s="13" customFormat="1" ht="13.5" customHeight="1" hidden="1">
      <c r="A163" s="13" t="s">
        <v>271</v>
      </c>
      <c r="B163" s="105" t="s">
        <v>270</v>
      </c>
      <c r="C163" s="821">
        <v>11250</v>
      </c>
      <c r="H163" s="208"/>
    </row>
    <row r="164" spans="1:8" s="13" customFormat="1" ht="13.5" customHeight="1">
      <c r="A164" s="12" t="s">
        <v>115</v>
      </c>
      <c r="B164" s="12" t="s">
        <v>116</v>
      </c>
      <c r="C164" s="33">
        <f>SUM(C165)</f>
        <v>17100</v>
      </c>
      <c r="H164" s="208"/>
    </row>
    <row r="165" spans="1:14" s="3" customFormat="1" ht="13.5" hidden="1">
      <c r="A165" s="13" t="s">
        <v>96</v>
      </c>
      <c r="B165" s="107" t="s">
        <v>71</v>
      </c>
      <c r="C165" s="821">
        <v>17100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s="3" customFormat="1" ht="13.5">
      <c r="A166" s="12" t="s">
        <v>117</v>
      </c>
      <c r="B166" s="353" t="s">
        <v>118</v>
      </c>
      <c r="C166" s="33">
        <f>SUM(C167:C168)</f>
        <v>126240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s="3" customFormat="1" ht="13.5" hidden="1">
      <c r="A167" s="13" t="s">
        <v>749</v>
      </c>
      <c r="B167" s="24" t="s">
        <v>750</v>
      </c>
      <c r="C167" s="821">
        <v>108000</v>
      </c>
      <c r="F167" s="1"/>
      <c r="G167" s="1"/>
      <c r="H167" s="208"/>
      <c r="I167" s="1"/>
      <c r="J167" s="1"/>
      <c r="K167" s="1"/>
      <c r="L167" s="1"/>
      <c r="M167" s="1"/>
      <c r="N167" s="1"/>
    </row>
    <row r="168" spans="1:14" s="5" customFormat="1" ht="13.5" hidden="1">
      <c r="A168" s="107" t="s">
        <v>751</v>
      </c>
      <c r="B168" s="107" t="s">
        <v>752</v>
      </c>
      <c r="C168" s="821">
        <v>18240</v>
      </c>
      <c r="E168" s="531"/>
      <c r="F168" s="531"/>
      <c r="G168" s="575"/>
      <c r="H168" s="208"/>
      <c r="I168" s="934"/>
      <c r="J168" s="208"/>
      <c r="K168" s="208"/>
      <c r="L168" s="208"/>
      <c r="M168" s="208"/>
      <c r="N168" s="208"/>
    </row>
    <row r="169" spans="1:14" s="3" customFormat="1" ht="13.5">
      <c r="A169" s="353" t="s">
        <v>134</v>
      </c>
      <c r="B169" s="26" t="s">
        <v>133</v>
      </c>
      <c r="C169" s="33">
        <f>SUM(C170)</f>
        <v>12500</v>
      </c>
      <c r="F169" s="1"/>
      <c r="G169" s="1"/>
      <c r="H169" s="208"/>
      <c r="I169" s="1"/>
      <c r="J169" s="1"/>
      <c r="K169" s="1"/>
      <c r="L169" s="1"/>
      <c r="M169" s="1"/>
      <c r="N169" s="1"/>
    </row>
    <row r="170" spans="1:14" s="5" customFormat="1" ht="13.5" hidden="1">
      <c r="A170" s="107" t="s">
        <v>103</v>
      </c>
      <c r="B170" s="25" t="s">
        <v>78</v>
      </c>
      <c r="C170" s="821">
        <v>12500</v>
      </c>
      <c r="F170" s="208"/>
      <c r="G170" s="208"/>
      <c r="H170" s="13"/>
      <c r="I170" s="208"/>
      <c r="J170" s="208"/>
      <c r="K170" s="208"/>
      <c r="L170" s="208"/>
      <c r="M170" s="208"/>
      <c r="N170" s="208"/>
    </row>
    <row r="171" spans="1:14" s="5" customFormat="1" ht="13.5">
      <c r="A171" s="353" t="s">
        <v>169</v>
      </c>
      <c r="B171" s="26" t="s">
        <v>135</v>
      </c>
      <c r="C171" s="33">
        <f>SUM(C172:C175)</f>
        <v>253000</v>
      </c>
      <c r="F171" s="208"/>
      <c r="G171" s="208"/>
      <c r="H171" s="13"/>
      <c r="I171" s="208"/>
      <c r="J171" s="208"/>
      <c r="K171" s="208"/>
      <c r="L171" s="208"/>
      <c r="M171" s="208"/>
      <c r="N171" s="208"/>
    </row>
    <row r="172" spans="1:14" s="5" customFormat="1" ht="13.5" hidden="1">
      <c r="A172" s="107" t="s">
        <v>170</v>
      </c>
      <c r="B172" s="25" t="s">
        <v>70</v>
      </c>
      <c r="C172" s="821">
        <v>225000</v>
      </c>
      <c r="F172" s="208"/>
      <c r="G172" s="208"/>
      <c r="H172" s="1"/>
      <c r="I172" s="208"/>
      <c r="J172" s="208"/>
      <c r="K172" s="208"/>
      <c r="L172" s="208"/>
      <c r="M172" s="208"/>
      <c r="N172" s="208"/>
    </row>
    <row r="173" spans="1:14" s="5" customFormat="1" ht="13.5" hidden="1">
      <c r="A173" s="107" t="s">
        <v>325</v>
      </c>
      <c r="B173" s="25" t="s">
        <v>326</v>
      </c>
      <c r="C173" s="821">
        <v>7500</v>
      </c>
      <c r="F173" s="208"/>
      <c r="G173" s="208"/>
      <c r="H173" s="12"/>
      <c r="I173" s="208"/>
      <c r="J173" s="208"/>
      <c r="K173" s="208"/>
      <c r="L173" s="208"/>
      <c r="M173" s="208"/>
      <c r="N173" s="208"/>
    </row>
    <row r="174" spans="1:14" s="5" customFormat="1" ht="13.5" hidden="1">
      <c r="A174" s="107" t="s">
        <v>171</v>
      </c>
      <c r="B174" s="25" t="s">
        <v>75</v>
      </c>
      <c r="C174" s="821">
        <v>8000</v>
      </c>
      <c r="F174" s="208"/>
      <c r="G174" s="208"/>
      <c r="H174" s="13"/>
      <c r="I174" s="208"/>
      <c r="J174" s="208"/>
      <c r="K174" s="208"/>
      <c r="L174" s="208"/>
      <c r="M174" s="208"/>
      <c r="N174" s="208"/>
    </row>
    <row r="175" spans="1:14" s="3" customFormat="1" ht="13.5" hidden="1">
      <c r="A175" s="107" t="s">
        <v>173</v>
      </c>
      <c r="B175" s="24" t="s">
        <v>135</v>
      </c>
      <c r="C175" s="821">
        <v>12500</v>
      </c>
      <c r="F175" s="1"/>
      <c r="G175" s="1"/>
      <c r="H175" s="13"/>
      <c r="I175" s="1"/>
      <c r="J175" s="1"/>
      <c r="K175" s="1"/>
      <c r="L175" s="1"/>
      <c r="M175" s="1"/>
      <c r="N175" s="1"/>
    </row>
    <row r="176" spans="1:14" s="5" customFormat="1" ht="14.25" thickBot="1">
      <c r="A176" s="107"/>
      <c r="B176" s="25"/>
      <c r="C176" s="25"/>
      <c r="F176" s="208"/>
      <c r="G176" s="208"/>
      <c r="H176" s="13"/>
      <c r="I176" s="208"/>
      <c r="J176" s="208"/>
      <c r="K176" s="208"/>
      <c r="L176" s="208"/>
      <c r="M176" s="208"/>
      <c r="N176" s="208"/>
    </row>
    <row r="177" spans="1:14" s="353" customFormat="1" ht="13.5" customHeight="1" thickBot="1">
      <c r="A177" s="949" t="s">
        <v>3</v>
      </c>
      <c r="B177" s="950"/>
      <c r="C177" s="36">
        <f>C178+C181+C184+C187+C189</f>
        <v>6138060</v>
      </c>
      <c r="F177" s="12"/>
      <c r="G177" s="12"/>
      <c r="H177" s="13"/>
      <c r="I177" s="12"/>
      <c r="J177" s="12"/>
      <c r="K177" s="12"/>
      <c r="L177" s="12"/>
      <c r="M177" s="12"/>
      <c r="N177" s="12"/>
    </row>
    <row r="178" spans="1:3" s="142" customFormat="1" ht="13.5" customHeight="1">
      <c r="A178" s="353" t="s">
        <v>120</v>
      </c>
      <c r="B178" s="404" t="s">
        <v>121</v>
      </c>
      <c r="C178" s="34">
        <f>SUM(C179:C180)</f>
        <v>19500</v>
      </c>
    </row>
    <row r="179" spans="1:14" s="107" customFormat="1" ht="13.5" customHeight="1" hidden="1">
      <c r="A179" s="107" t="s">
        <v>57</v>
      </c>
      <c r="B179" s="25" t="s">
        <v>18</v>
      </c>
      <c r="C179" s="821">
        <v>7000</v>
      </c>
      <c r="D179" s="539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s="3" customFormat="1" ht="13.5" hidden="1">
      <c r="A180" s="107" t="s">
        <v>717</v>
      </c>
      <c r="B180" s="25" t="s">
        <v>718</v>
      </c>
      <c r="C180" s="821">
        <v>12500</v>
      </c>
      <c r="D180" s="15"/>
      <c r="E180" s="172"/>
      <c r="F180" s="531"/>
      <c r="G180" s="587"/>
      <c r="H180" s="1"/>
      <c r="I180" s="1"/>
      <c r="J180" s="1"/>
      <c r="K180" s="1"/>
      <c r="L180" s="1"/>
      <c r="M180" s="1"/>
      <c r="N180" s="1"/>
    </row>
    <row r="181" spans="1:14" s="107" customFormat="1" ht="13.5" customHeight="1">
      <c r="A181" s="12" t="s">
        <v>130</v>
      </c>
      <c r="B181" s="33" t="s">
        <v>131</v>
      </c>
      <c r="C181" s="33">
        <f>SUM(C182:C183)</f>
        <v>25200</v>
      </c>
      <c r="D181" s="539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s="107" customFormat="1" ht="13.5" customHeight="1" hidden="1">
      <c r="A182" s="13" t="s">
        <v>327</v>
      </c>
      <c r="B182" s="57" t="s">
        <v>328</v>
      </c>
      <c r="C182" s="821">
        <v>10200</v>
      </c>
      <c r="D182" s="539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s="107" customFormat="1" ht="13.5" customHeight="1" hidden="1">
      <c r="A183" s="13" t="s">
        <v>148</v>
      </c>
      <c r="B183" s="13" t="s">
        <v>77</v>
      </c>
      <c r="C183" s="821">
        <v>15000</v>
      </c>
      <c r="D183" s="531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s="107" customFormat="1" ht="13.5" customHeight="1">
      <c r="A184" s="353" t="s">
        <v>122</v>
      </c>
      <c r="B184" s="33" t="s">
        <v>175</v>
      </c>
      <c r="C184" s="33">
        <f>SUM(C185:C186)</f>
        <v>3310300</v>
      </c>
      <c r="D184" s="531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s="107" customFormat="1" ht="13.5" customHeight="1" hidden="1">
      <c r="A185" s="107" t="s">
        <v>150</v>
      </c>
      <c r="B185" s="13" t="s">
        <v>149</v>
      </c>
      <c r="C185" s="821">
        <v>5500</v>
      </c>
      <c r="D185" s="531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s="107" customFormat="1" ht="13.5" customHeight="1" hidden="1">
      <c r="A186" s="107" t="s">
        <v>53</v>
      </c>
      <c r="B186" s="25" t="s">
        <v>97</v>
      </c>
      <c r="C186" s="821">
        <v>3304800</v>
      </c>
      <c r="F186" s="13"/>
      <c r="G186" s="13"/>
      <c r="H186" s="536"/>
      <c r="I186" s="531"/>
      <c r="J186" s="172"/>
      <c r="K186" s="589"/>
      <c r="L186" s="13"/>
      <c r="M186" s="13"/>
      <c r="N186" s="13"/>
    </row>
    <row r="187" spans="1:14" s="107" customFormat="1" ht="13.5" customHeight="1">
      <c r="A187" s="12" t="s">
        <v>123</v>
      </c>
      <c r="B187" s="33" t="s">
        <v>124</v>
      </c>
      <c r="C187" s="33">
        <f>SUM(C188:C188)</f>
        <v>95800</v>
      </c>
      <c r="F187" s="13"/>
      <c r="G187" s="13"/>
      <c r="H187" s="531"/>
      <c r="I187" s="13"/>
      <c r="J187" s="13"/>
      <c r="K187" s="13"/>
      <c r="L187" s="13"/>
      <c r="M187" s="13"/>
      <c r="N187" s="13"/>
    </row>
    <row r="188" spans="1:256" s="107" customFormat="1" ht="13.5" customHeight="1" hidden="1">
      <c r="A188" s="13" t="s">
        <v>184</v>
      </c>
      <c r="B188" s="13" t="s">
        <v>83</v>
      </c>
      <c r="C188" s="821">
        <v>95800</v>
      </c>
      <c r="F188" s="13"/>
      <c r="G188" s="13"/>
      <c r="H188" s="595"/>
      <c r="I188" s="208"/>
      <c r="J188" s="13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8"/>
      <c r="BC188" s="208"/>
      <c r="BD188" s="208"/>
      <c r="BE188" s="208"/>
      <c r="BF188" s="208"/>
      <c r="BG188" s="208"/>
      <c r="BH188" s="208"/>
      <c r="BI188" s="208"/>
      <c r="BJ188" s="208"/>
      <c r="BK188" s="208"/>
      <c r="BL188" s="208"/>
      <c r="BM188" s="208"/>
      <c r="BN188" s="208"/>
      <c r="BO188" s="208"/>
      <c r="BP188" s="208"/>
      <c r="BQ188" s="208"/>
      <c r="BR188" s="208"/>
      <c r="BS188" s="208"/>
      <c r="BT188" s="208"/>
      <c r="BU188" s="208"/>
      <c r="BV188" s="208"/>
      <c r="BW188" s="208"/>
      <c r="BX188" s="208"/>
      <c r="BY188" s="208"/>
      <c r="BZ188" s="208"/>
      <c r="CA188" s="208"/>
      <c r="CB188" s="208"/>
      <c r="CC188" s="208"/>
      <c r="CD188" s="208"/>
      <c r="CE188" s="208"/>
      <c r="CF188" s="208"/>
      <c r="CG188" s="208"/>
      <c r="CH188" s="208"/>
      <c r="CI188" s="208"/>
      <c r="CJ188" s="208"/>
      <c r="CK188" s="208"/>
      <c r="CL188" s="208"/>
      <c r="CM188" s="208"/>
      <c r="CN188" s="208"/>
      <c r="CO188" s="208"/>
      <c r="CP188" s="208"/>
      <c r="CQ188" s="208"/>
      <c r="CR188" s="208"/>
      <c r="CS188" s="208"/>
      <c r="CT188" s="208"/>
      <c r="CU188" s="208"/>
      <c r="CV188" s="208"/>
      <c r="CW188" s="208"/>
      <c r="CX188" s="208"/>
      <c r="CY188" s="208"/>
      <c r="CZ188" s="208"/>
      <c r="DA188" s="208"/>
      <c r="DB188" s="208"/>
      <c r="DC188" s="208"/>
      <c r="DD188" s="208"/>
      <c r="DE188" s="208"/>
      <c r="DF188" s="208"/>
      <c r="DG188" s="208"/>
      <c r="DH188" s="208"/>
      <c r="DI188" s="208"/>
      <c r="DJ188" s="208"/>
      <c r="DK188" s="208"/>
      <c r="DL188" s="208"/>
      <c r="DM188" s="208"/>
      <c r="DN188" s="208"/>
      <c r="DO188" s="208"/>
      <c r="DP188" s="208"/>
      <c r="DQ188" s="208"/>
      <c r="DR188" s="208"/>
      <c r="DS188" s="208"/>
      <c r="DT188" s="208"/>
      <c r="DU188" s="208"/>
      <c r="DV188" s="208"/>
      <c r="DW188" s="208"/>
      <c r="DX188" s="208"/>
      <c r="DY188" s="208"/>
      <c r="DZ188" s="208"/>
      <c r="EA188" s="208"/>
      <c r="EB188" s="208"/>
      <c r="EC188" s="208"/>
      <c r="ED188" s="208"/>
      <c r="EE188" s="208"/>
      <c r="EF188" s="208"/>
      <c r="EG188" s="208"/>
      <c r="EH188" s="208"/>
      <c r="EI188" s="208"/>
      <c r="EJ188" s="208"/>
      <c r="EK188" s="208"/>
      <c r="EL188" s="208"/>
      <c r="EM188" s="208"/>
      <c r="EN188" s="208"/>
      <c r="EO188" s="208"/>
      <c r="EP188" s="208"/>
      <c r="EQ188" s="208"/>
      <c r="ER188" s="208"/>
      <c r="ES188" s="208"/>
      <c r="ET188" s="208"/>
      <c r="EU188" s="208"/>
      <c r="EV188" s="208"/>
      <c r="EW188" s="208"/>
      <c r="EX188" s="208"/>
      <c r="EY188" s="208"/>
      <c r="EZ188" s="208"/>
      <c r="FA188" s="208"/>
      <c r="FB188" s="208"/>
      <c r="FC188" s="208"/>
      <c r="FD188" s="208"/>
      <c r="FE188" s="208"/>
      <c r="FF188" s="208"/>
      <c r="FG188" s="208"/>
      <c r="FH188" s="208"/>
      <c r="FI188" s="208"/>
      <c r="FJ188" s="208"/>
      <c r="FK188" s="208"/>
      <c r="FL188" s="208"/>
      <c r="FM188" s="208"/>
      <c r="FN188" s="208"/>
      <c r="FO188" s="208"/>
      <c r="FP188" s="208"/>
      <c r="FQ188" s="208"/>
      <c r="FR188" s="208"/>
      <c r="FS188" s="208"/>
      <c r="FT188" s="208"/>
      <c r="FU188" s="208"/>
      <c r="FV188" s="208"/>
      <c r="FW188" s="208"/>
      <c r="FX188" s="208"/>
      <c r="FY188" s="208"/>
      <c r="FZ188" s="208"/>
      <c r="GA188" s="208"/>
      <c r="GB188" s="208"/>
      <c r="GC188" s="208"/>
      <c r="GD188" s="208"/>
      <c r="GE188" s="208"/>
      <c r="GF188" s="208"/>
      <c r="GG188" s="208"/>
      <c r="GH188" s="208"/>
      <c r="GI188" s="208"/>
      <c r="GJ188" s="208"/>
      <c r="GK188" s="208"/>
      <c r="GL188" s="208"/>
      <c r="GM188" s="208"/>
      <c r="GN188" s="208"/>
      <c r="GO188" s="208"/>
      <c r="GP188" s="208"/>
      <c r="GQ188" s="208"/>
      <c r="GR188" s="208"/>
      <c r="GS188" s="208"/>
      <c r="GT188" s="208"/>
      <c r="GU188" s="208"/>
      <c r="GV188" s="208"/>
      <c r="GW188" s="208"/>
      <c r="GX188" s="208"/>
      <c r="GY188" s="208"/>
      <c r="GZ188" s="208"/>
      <c r="HA188" s="208"/>
      <c r="HB188" s="208"/>
      <c r="HC188" s="208"/>
      <c r="HD188" s="208"/>
      <c r="HE188" s="208"/>
      <c r="HF188" s="208"/>
      <c r="HG188" s="208"/>
      <c r="HH188" s="208"/>
      <c r="HI188" s="208"/>
      <c r="HJ188" s="208"/>
      <c r="HK188" s="208"/>
      <c r="HL188" s="208"/>
      <c r="HM188" s="208"/>
      <c r="HN188" s="208"/>
      <c r="HO188" s="208"/>
      <c r="HP188" s="208"/>
      <c r="HQ188" s="208"/>
      <c r="HR188" s="208"/>
      <c r="HS188" s="208"/>
      <c r="HT188" s="208"/>
      <c r="HU188" s="208"/>
      <c r="HV188" s="208"/>
      <c r="HW188" s="208"/>
      <c r="HX188" s="208"/>
      <c r="HY188" s="208"/>
      <c r="HZ188" s="208"/>
      <c r="IA188" s="208"/>
      <c r="IB188" s="208"/>
      <c r="IC188" s="208"/>
      <c r="ID188" s="208"/>
      <c r="IE188" s="208"/>
      <c r="IF188" s="208"/>
      <c r="IG188" s="208"/>
      <c r="IH188" s="208"/>
      <c r="II188" s="208"/>
      <c r="IJ188" s="208"/>
      <c r="IK188" s="208"/>
      <c r="IL188" s="208"/>
      <c r="IM188" s="208"/>
      <c r="IN188" s="208"/>
      <c r="IO188" s="208"/>
      <c r="IP188" s="208"/>
      <c r="IQ188" s="208"/>
      <c r="IR188" s="208"/>
      <c r="IS188" s="208"/>
      <c r="IT188" s="208"/>
      <c r="IU188" s="208"/>
      <c r="IV188" s="208"/>
    </row>
    <row r="189" spans="1:256" s="107" customFormat="1" ht="13.5" customHeight="1">
      <c r="A189" s="353" t="s">
        <v>125</v>
      </c>
      <c r="B189" s="33" t="s">
        <v>8</v>
      </c>
      <c r="C189" s="33">
        <f>SUM(C190:C193)</f>
        <v>2687260</v>
      </c>
      <c r="F189" s="13"/>
      <c r="G189" s="13"/>
      <c r="H189" s="548"/>
      <c r="I189" s="539"/>
      <c r="J189" s="13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8"/>
      <c r="BQ189" s="208"/>
      <c r="BR189" s="208"/>
      <c r="BS189" s="208"/>
      <c r="BT189" s="208"/>
      <c r="BU189" s="208"/>
      <c r="BV189" s="208"/>
      <c r="BW189" s="208"/>
      <c r="BX189" s="208"/>
      <c r="BY189" s="208"/>
      <c r="BZ189" s="208"/>
      <c r="CA189" s="208"/>
      <c r="CB189" s="208"/>
      <c r="CC189" s="208"/>
      <c r="CD189" s="208"/>
      <c r="CE189" s="208"/>
      <c r="CF189" s="208"/>
      <c r="CG189" s="208"/>
      <c r="CH189" s="208"/>
      <c r="CI189" s="208"/>
      <c r="CJ189" s="208"/>
      <c r="CK189" s="208"/>
      <c r="CL189" s="208"/>
      <c r="CM189" s="208"/>
      <c r="CN189" s="208"/>
      <c r="CO189" s="208"/>
      <c r="CP189" s="208"/>
      <c r="CQ189" s="208"/>
      <c r="CR189" s="208"/>
      <c r="CS189" s="208"/>
      <c r="CT189" s="208"/>
      <c r="CU189" s="208"/>
      <c r="CV189" s="208"/>
      <c r="CW189" s="208"/>
      <c r="CX189" s="208"/>
      <c r="CY189" s="208"/>
      <c r="CZ189" s="208"/>
      <c r="DA189" s="208"/>
      <c r="DB189" s="208"/>
      <c r="DC189" s="208"/>
      <c r="DD189" s="208"/>
      <c r="DE189" s="208"/>
      <c r="DF189" s="208"/>
      <c r="DG189" s="208"/>
      <c r="DH189" s="208"/>
      <c r="DI189" s="208"/>
      <c r="DJ189" s="208"/>
      <c r="DK189" s="208"/>
      <c r="DL189" s="208"/>
      <c r="DM189" s="208"/>
      <c r="DN189" s="208"/>
      <c r="DO189" s="208"/>
      <c r="DP189" s="208"/>
      <c r="DQ189" s="208"/>
      <c r="DR189" s="208"/>
      <c r="DS189" s="208"/>
      <c r="DT189" s="208"/>
      <c r="DU189" s="208"/>
      <c r="DV189" s="208"/>
      <c r="DW189" s="208"/>
      <c r="DX189" s="208"/>
      <c r="DY189" s="208"/>
      <c r="DZ189" s="208"/>
      <c r="EA189" s="208"/>
      <c r="EB189" s="208"/>
      <c r="EC189" s="208"/>
      <c r="ED189" s="208"/>
      <c r="EE189" s="208"/>
      <c r="EF189" s="208"/>
      <c r="EG189" s="208"/>
      <c r="EH189" s="208"/>
      <c r="EI189" s="208"/>
      <c r="EJ189" s="208"/>
      <c r="EK189" s="208"/>
      <c r="EL189" s="208"/>
      <c r="EM189" s="208"/>
      <c r="EN189" s="208"/>
      <c r="EO189" s="208"/>
      <c r="EP189" s="208"/>
      <c r="EQ189" s="208"/>
      <c r="ER189" s="208"/>
      <c r="ES189" s="208"/>
      <c r="ET189" s="208"/>
      <c r="EU189" s="208"/>
      <c r="EV189" s="208"/>
      <c r="EW189" s="208"/>
      <c r="EX189" s="208"/>
      <c r="EY189" s="208"/>
      <c r="EZ189" s="208"/>
      <c r="FA189" s="208"/>
      <c r="FB189" s="208"/>
      <c r="FC189" s="208"/>
      <c r="FD189" s="208"/>
      <c r="FE189" s="208"/>
      <c r="FF189" s="208"/>
      <c r="FG189" s="208"/>
      <c r="FH189" s="208"/>
      <c r="FI189" s="208"/>
      <c r="FJ189" s="208"/>
      <c r="FK189" s="208"/>
      <c r="FL189" s="208"/>
      <c r="FM189" s="208"/>
      <c r="FN189" s="208"/>
      <c r="FO189" s="208"/>
      <c r="FP189" s="208"/>
      <c r="FQ189" s="208"/>
      <c r="FR189" s="208"/>
      <c r="FS189" s="208"/>
      <c r="FT189" s="208"/>
      <c r="FU189" s="208"/>
      <c r="FV189" s="208"/>
      <c r="FW189" s="208"/>
      <c r="FX189" s="208"/>
      <c r="FY189" s="208"/>
      <c r="FZ189" s="208"/>
      <c r="GA189" s="208"/>
      <c r="GB189" s="208"/>
      <c r="GC189" s="208"/>
      <c r="GD189" s="208"/>
      <c r="GE189" s="208"/>
      <c r="GF189" s="208"/>
      <c r="GG189" s="208"/>
      <c r="GH189" s="208"/>
      <c r="GI189" s="208"/>
      <c r="GJ189" s="208"/>
      <c r="GK189" s="208"/>
      <c r="GL189" s="208"/>
      <c r="GM189" s="208"/>
      <c r="GN189" s="208"/>
      <c r="GO189" s="208"/>
      <c r="GP189" s="208"/>
      <c r="GQ189" s="208"/>
      <c r="GR189" s="208"/>
      <c r="GS189" s="208"/>
      <c r="GT189" s="208"/>
      <c r="GU189" s="208"/>
      <c r="GV189" s="208"/>
      <c r="GW189" s="208"/>
      <c r="GX189" s="208"/>
      <c r="GY189" s="208"/>
      <c r="GZ189" s="208"/>
      <c r="HA189" s="208"/>
      <c r="HB189" s="208"/>
      <c r="HC189" s="208"/>
      <c r="HD189" s="208"/>
      <c r="HE189" s="208"/>
      <c r="HF189" s="208"/>
      <c r="HG189" s="208"/>
      <c r="HH189" s="208"/>
      <c r="HI189" s="208"/>
      <c r="HJ189" s="208"/>
      <c r="HK189" s="208"/>
      <c r="HL189" s="208"/>
      <c r="HM189" s="208"/>
      <c r="HN189" s="208"/>
      <c r="HO189" s="208"/>
      <c r="HP189" s="208"/>
      <c r="HQ189" s="208"/>
      <c r="HR189" s="208"/>
      <c r="HS189" s="208"/>
      <c r="HT189" s="208"/>
      <c r="HU189" s="208"/>
      <c r="HV189" s="208"/>
      <c r="HW189" s="208"/>
      <c r="HX189" s="208"/>
      <c r="HY189" s="208"/>
      <c r="HZ189" s="208"/>
      <c r="IA189" s="208"/>
      <c r="IB189" s="208"/>
      <c r="IC189" s="208"/>
      <c r="ID189" s="208"/>
      <c r="IE189" s="208"/>
      <c r="IF189" s="208"/>
      <c r="IG189" s="208"/>
      <c r="IH189" s="208"/>
      <c r="II189" s="208"/>
      <c r="IJ189" s="208"/>
      <c r="IK189" s="208"/>
      <c r="IL189" s="208"/>
      <c r="IM189" s="208"/>
      <c r="IN189" s="208"/>
      <c r="IO189" s="208"/>
      <c r="IP189" s="208"/>
      <c r="IQ189" s="208"/>
      <c r="IR189" s="208"/>
      <c r="IS189" s="208"/>
      <c r="IT189" s="208"/>
      <c r="IU189" s="208"/>
      <c r="IV189" s="208"/>
    </row>
    <row r="190" spans="1:14" s="107" customFormat="1" ht="13.5" customHeight="1" hidden="1">
      <c r="A190" s="107" t="s">
        <v>102</v>
      </c>
      <c r="B190" s="25" t="s">
        <v>8</v>
      </c>
      <c r="C190" s="821">
        <v>2115360</v>
      </c>
      <c r="F190" s="13"/>
      <c r="G190" s="13"/>
      <c r="H190" s="595"/>
      <c r="I190" s="13"/>
      <c r="J190" s="531"/>
      <c r="K190" s="539"/>
      <c r="L190" s="13"/>
      <c r="M190" s="13"/>
      <c r="N190" s="13"/>
    </row>
    <row r="191" spans="1:14" s="107" customFormat="1" ht="13.5" customHeight="1" hidden="1">
      <c r="A191" s="107" t="s">
        <v>205</v>
      </c>
      <c r="B191" s="25" t="s">
        <v>54</v>
      </c>
      <c r="C191" s="821">
        <v>7000</v>
      </c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1" s="12" customFormat="1" ht="13.5" customHeight="1" hidden="1">
      <c r="A192" s="107" t="s">
        <v>266</v>
      </c>
      <c r="B192" s="13" t="s">
        <v>265</v>
      </c>
      <c r="C192" s="821">
        <v>94500</v>
      </c>
      <c r="H192" s="548"/>
      <c r="I192" s="531"/>
      <c r="J192" s="531"/>
      <c r="K192" s="539"/>
    </row>
    <row r="193" spans="1:14" s="107" customFormat="1" ht="13.5" customHeight="1" hidden="1">
      <c r="A193" s="107" t="s">
        <v>100</v>
      </c>
      <c r="B193" s="25" t="s">
        <v>7</v>
      </c>
      <c r="C193" s="821">
        <f>31200*12+8000*12</f>
        <v>470400</v>
      </c>
      <c r="F193" s="13"/>
      <c r="G193" s="13"/>
      <c r="H193" s="534"/>
      <c r="I193" s="531"/>
      <c r="J193" s="531"/>
      <c r="K193" s="539"/>
      <c r="L193" s="13"/>
      <c r="M193" s="13"/>
      <c r="N193" s="13"/>
    </row>
    <row r="194" spans="2:14" s="107" customFormat="1" ht="13.5" customHeight="1" thickBot="1">
      <c r="B194" s="25"/>
      <c r="C194" s="25"/>
      <c r="F194" s="13"/>
      <c r="G194" s="13"/>
      <c r="H194" s="548"/>
      <c r="I194" s="539"/>
      <c r="J194" s="531"/>
      <c r="K194" s="539"/>
      <c r="L194" s="13"/>
      <c r="M194" s="13"/>
      <c r="N194" s="13"/>
    </row>
    <row r="195" spans="1:14" s="353" customFormat="1" ht="13.5" customHeight="1" thickBot="1">
      <c r="A195" s="951" t="s">
        <v>4</v>
      </c>
      <c r="B195" s="952"/>
      <c r="C195" s="605">
        <f>C196+C200</f>
        <v>81250</v>
      </c>
      <c r="F195" s="12"/>
      <c r="G195" s="12"/>
      <c r="H195" s="13"/>
      <c r="I195" s="12"/>
      <c r="J195" s="584"/>
      <c r="K195" s="547"/>
      <c r="L195" s="12"/>
      <c r="M195" s="12"/>
      <c r="N195" s="12"/>
    </row>
    <row r="196" spans="1:7" s="142" customFormat="1" ht="13.5" customHeight="1">
      <c r="A196" s="353" t="s">
        <v>126</v>
      </c>
      <c r="B196" s="404" t="s">
        <v>127</v>
      </c>
      <c r="C196" s="34">
        <f>SUM(C197:C199)</f>
        <v>64750</v>
      </c>
      <c r="D196" s="535"/>
      <c r="F196" s="535"/>
      <c r="G196" s="536"/>
    </row>
    <row r="197" spans="1:14" s="5" customFormat="1" ht="13.5" hidden="1">
      <c r="A197" s="107" t="s">
        <v>101</v>
      </c>
      <c r="B197" s="107" t="s">
        <v>152</v>
      </c>
      <c r="C197" s="821">
        <v>17500</v>
      </c>
      <c r="D197" s="592"/>
      <c r="E197" s="531"/>
      <c r="F197" s="531"/>
      <c r="G197" s="575"/>
      <c r="H197" s="208"/>
      <c r="I197" s="208"/>
      <c r="J197" s="208"/>
      <c r="K197" s="208"/>
      <c r="L197" s="208"/>
      <c r="M197" s="208"/>
      <c r="N197" s="208"/>
    </row>
    <row r="198" spans="1:14" s="5" customFormat="1" ht="13.5" hidden="1">
      <c r="A198" s="107" t="s">
        <v>240</v>
      </c>
      <c r="B198" s="57" t="s">
        <v>1193</v>
      </c>
      <c r="C198" s="821">
        <v>18250</v>
      </c>
      <c r="D198" s="531"/>
      <c r="E198" s="531"/>
      <c r="F198" s="531"/>
      <c r="G198" s="575"/>
      <c r="H198" s="208"/>
      <c r="I198" s="934"/>
      <c r="J198" s="208"/>
      <c r="K198" s="208"/>
      <c r="L198" s="208"/>
      <c r="M198" s="208"/>
      <c r="N198" s="208"/>
    </row>
    <row r="199" spans="1:14" s="5" customFormat="1" ht="13.5" hidden="1">
      <c r="A199" s="107" t="s">
        <v>62</v>
      </c>
      <c r="B199" s="107" t="s">
        <v>63</v>
      </c>
      <c r="C199" s="821">
        <v>29000</v>
      </c>
      <c r="D199" s="541"/>
      <c r="E199" s="531"/>
      <c r="F199" s="531"/>
      <c r="G199" s="575"/>
      <c r="H199" s="208"/>
      <c r="I199" s="208"/>
      <c r="J199" s="208"/>
      <c r="K199" s="208"/>
      <c r="L199" s="208"/>
      <c r="M199" s="208"/>
      <c r="N199" s="208"/>
    </row>
    <row r="200" spans="1:14" s="5" customFormat="1" ht="13.5">
      <c r="A200" s="353" t="s">
        <v>188</v>
      </c>
      <c r="B200" s="26" t="s">
        <v>145</v>
      </c>
      <c r="C200" s="33">
        <f>SUM(C201)</f>
        <v>16500</v>
      </c>
      <c r="D200" s="531"/>
      <c r="E200" s="531"/>
      <c r="F200" s="531"/>
      <c r="G200" s="575"/>
      <c r="H200" s="208"/>
      <c r="I200" s="934"/>
      <c r="J200" s="208"/>
      <c r="K200" s="208"/>
      <c r="L200" s="208"/>
      <c r="M200" s="208"/>
      <c r="N200" s="208"/>
    </row>
    <row r="201" spans="1:14" s="5" customFormat="1" ht="13.5" hidden="1">
      <c r="A201" s="107" t="s">
        <v>189</v>
      </c>
      <c r="B201" s="24" t="s">
        <v>56</v>
      </c>
      <c r="C201" s="821">
        <v>16500</v>
      </c>
      <c r="D201" s="541"/>
      <c r="E201" s="531"/>
      <c r="F201" s="531"/>
      <c r="G201" s="575"/>
      <c r="H201" s="208"/>
      <c r="I201" s="208"/>
      <c r="J201" s="208"/>
      <c r="K201" s="208"/>
      <c r="L201" s="208"/>
      <c r="M201" s="208"/>
      <c r="N201" s="208"/>
    </row>
    <row r="202" spans="1:14" s="5" customFormat="1" ht="13.5">
      <c r="A202" s="107"/>
      <c r="B202" s="24"/>
      <c r="C202" s="25"/>
      <c r="D202" s="541"/>
      <c r="F202" s="208"/>
      <c r="G202" s="575"/>
      <c r="H202" s="208"/>
      <c r="I202" s="208"/>
      <c r="J202" s="208"/>
      <c r="K202" s="208"/>
      <c r="L202" s="208"/>
      <c r="M202" s="208"/>
      <c r="N202" s="208"/>
    </row>
    <row r="203" spans="1:5" ht="13.5" customHeight="1" thickBot="1">
      <c r="A203" s="597"/>
      <c r="B203" s="597"/>
      <c r="C203" s="24"/>
      <c r="D203" s="23"/>
      <c r="E203" s="25"/>
    </row>
    <row r="204" spans="1:7" s="1" customFormat="1" ht="13.5" customHeight="1">
      <c r="A204" s="64" t="s">
        <v>753</v>
      </c>
      <c r="B204" s="221"/>
      <c r="C204" s="65"/>
      <c r="D204" s="67" t="s">
        <v>6</v>
      </c>
      <c r="E204" s="44">
        <v>1504</v>
      </c>
      <c r="F204" s="600"/>
      <c r="G204" s="587"/>
    </row>
    <row r="205" spans="1:7" s="1" customFormat="1" ht="13.5" customHeight="1" thickBot="1">
      <c r="A205" s="49"/>
      <c r="B205" s="205"/>
      <c r="C205" s="119"/>
      <c r="D205" s="121"/>
      <c r="E205" s="120"/>
      <c r="F205" s="600"/>
      <c r="G205" s="587"/>
    </row>
    <row r="206" spans="1:7" s="1" customFormat="1" ht="13.5" customHeight="1">
      <c r="A206" s="45" t="s">
        <v>754</v>
      </c>
      <c r="B206" s="208"/>
      <c r="C206" s="172"/>
      <c r="D206" s="577"/>
      <c r="E206" s="450"/>
      <c r="F206" s="600"/>
      <c r="G206" s="587"/>
    </row>
    <row r="207" spans="1:5" s="1" customFormat="1" ht="13.5" customHeight="1">
      <c r="A207" s="45" t="s">
        <v>755</v>
      </c>
      <c r="B207" s="208"/>
      <c r="C207" s="172"/>
      <c r="D207" s="577"/>
      <c r="E207" s="450"/>
    </row>
    <row r="208" spans="1:5" s="1" customFormat="1" ht="13.5" customHeight="1">
      <c r="A208" s="45" t="s">
        <v>756</v>
      </c>
      <c r="B208" s="208"/>
      <c r="C208" s="172"/>
      <c r="D208" s="577"/>
      <c r="E208" s="450"/>
    </row>
    <row r="209" spans="1:5" s="1" customFormat="1" ht="13.5" customHeight="1">
      <c r="A209" s="45" t="s">
        <v>757</v>
      </c>
      <c r="B209" s="208"/>
      <c r="C209" s="172"/>
      <c r="D209" s="577"/>
      <c r="E209" s="450"/>
    </row>
    <row r="210" spans="1:5" s="1" customFormat="1" ht="13.5" customHeight="1">
      <c r="A210" s="45" t="s">
        <v>758</v>
      </c>
      <c r="B210" s="208"/>
      <c r="C210" s="172"/>
      <c r="D210" s="577"/>
      <c r="E210" s="450"/>
    </row>
    <row r="211" spans="1:5" s="1" customFormat="1" ht="13.5" customHeight="1" thickBot="1">
      <c r="A211" s="45" t="s">
        <v>759</v>
      </c>
      <c r="B211" s="208"/>
      <c r="C211" s="172"/>
      <c r="D211" s="577"/>
      <c r="E211" s="450"/>
    </row>
    <row r="212" spans="1:5" s="13" customFormat="1" ht="13.5" customHeight="1">
      <c r="A212" s="169" t="s">
        <v>1365</v>
      </c>
      <c r="B212" s="169"/>
      <c r="C212" s="601"/>
      <c r="D212" s="602"/>
      <c r="E212" s="603"/>
    </row>
    <row r="213" spans="1:5" s="13" customFormat="1" ht="13.5" customHeight="1">
      <c r="A213" s="52" t="s">
        <v>760</v>
      </c>
      <c r="B213" s="52"/>
      <c r="C213" s="25"/>
      <c r="D213" s="23"/>
      <c r="E213" s="453"/>
    </row>
    <row r="214" spans="1:5" s="13" customFormat="1" ht="13.5" customHeight="1">
      <c r="A214" s="52" t="s">
        <v>1421</v>
      </c>
      <c r="B214" s="52"/>
      <c r="C214" s="25"/>
      <c r="D214" s="23"/>
      <c r="E214" s="453"/>
    </row>
    <row r="215" spans="1:7" s="13" customFormat="1" ht="13.5" customHeight="1" thickBot="1">
      <c r="A215" s="111" t="s">
        <v>11</v>
      </c>
      <c r="B215" s="111"/>
      <c r="C215" s="556"/>
      <c r="D215" s="578"/>
      <c r="E215" s="557"/>
      <c r="F215" s="534"/>
      <c r="G215" s="575"/>
    </row>
    <row r="216" spans="1:7" s="13" customFormat="1" ht="13.5" customHeight="1" thickBot="1">
      <c r="A216" s="113" t="s">
        <v>0</v>
      </c>
      <c r="B216" s="113"/>
      <c r="C216" s="556"/>
      <c r="D216" s="114"/>
      <c r="E216" s="161">
        <f>+C218+C236+C249</f>
        <v>1585620</v>
      </c>
      <c r="F216" s="389"/>
      <c r="G216" s="575"/>
    </row>
    <row r="217" spans="1:6" ht="13.5" customHeight="1" thickBot="1">
      <c r="A217" s="107"/>
      <c r="B217" s="107"/>
      <c r="C217" s="24"/>
      <c r="D217" s="23"/>
      <c r="F217" s="522"/>
    </row>
    <row r="218" spans="1:14" s="353" customFormat="1" ht="13.5" customHeight="1" thickBot="1">
      <c r="A218" s="947" t="s">
        <v>2</v>
      </c>
      <c r="B218" s="948"/>
      <c r="C218" s="38">
        <f>C219+C221+C224+C226+C228+C232+C230</f>
        <v>104220</v>
      </c>
      <c r="D218" s="584"/>
      <c r="F218" s="522"/>
      <c r="G218" s="547"/>
      <c r="H218" s="12"/>
      <c r="I218" s="12"/>
      <c r="J218" s="12"/>
      <c r="K218" s="12"/>
      <c r="L218" s="12"/>
      <c r="M218" s="12"/>
      <c r="N218" s="12"/>
    </row>
    <row r="219" spans="1:7" s="142" customFormat="1" ht="13.5" customHeight="1">
      <c r="A219" s="12" t="s">
        <v>113</v>
      </c>
      <c r="B219" s="404" t="s">
        <v>114</v>
      </c>
      <c r="C219" s="34">
        <f>SUM(C220)</f>
        <v>41120</v>
      </c>
      <c r="F219" s="522"/>
      <c r="G219" s="536"/>
    </row>
    <row r="220" spans="1:6" s="13" customFormat="1" ht="13.5" customHeight="1" hidden="1">
      <c r="A220" s="13" t="s">
        <v>50</v>
      </c>
      <c r="B220" s="13" t="s">
        <v>49</v>
      </c>
      <c r="C220" s="821">
        <v>41120</v>
      </c>
      <c r="D220" s="142"/>
      <c r="F220" s="575"/>
    </row>
    <row r="221" spans="1:6" s="13" customFormat="1" ht="13.5" customHeight="1">
      <c r="A221" s="12" t="s">
        <v>223</v>
      </c>
      <c r="B221" s="12" t="s">
        <v>256</v>
      </c>
      <c r="C221" s="33">
        <f>SUM(C222:C223)</f>
        <v>15750</v>
      </c>
      <c r="D221" s="142"/>
      <c r="F221" s="575"/>
    </row>
    <row r="222" spans="1:6" s="13" customFormat="1" ht="13.5" customHeight="1" hidden="1">
      <c r="A222" s="13" t="s">
        <v>221</v>
      </c>
      <c r="B222" s="13" t="s">
        <v>748</v>
      </c>
      <c r="C222" s="821">
        <v>11250</v>
      </c>
      <c r="D222" s="606"/>
      <c r="F222" s="575"/>
    </row>
    <row r="223" spans="1:8" s="13" customFormat="1" ht="13.5" customHeight="1" hidden="1">
      <c r="A223" s="13" t="s">
        <v>271</v>
      </c>
      <c r="B223" s="105" t="s">
        <v>270</v>
      </c>
      <c r="C223" s="821">
        <v>4500</v>
      </c>
      <c r="H223" s="208"/>
    </row>
    <row r="224" spans="1:6" s="13" customFormat="1" ht="13.5" customHeight="1">
      <c r="A224" s="12" t="s">
        <v>115</v>
      </c>
      <c r="B224" s="12" t="s">
        <v>116</v>
      </c>
      <c r="C224" s="33">
        <f>SUM(C225)</f>
        <v>6600</v>
      </c>
      <c r="D224" s="531"/>
      <c r="F224" s="575"/>
    </row>
    <row r="225" spans="1:14" s="3" customFormat="1" ht="13.5" hidden="1">
      <c r="A225" s="13" t="s">
        <v>96</v>
      </c>
      <c r="B225" s="107" t="s">
        <v>71</v>
      </c>
      <c r="C225" s="821">
        <v>6600</v>
      </c>
      <c r="D225" s="594"/>
      <c r="E225" s="5"/>
      <c r="F225" s="539"/>
      <c r="G225" s="1"/>
      <c r="H225" s="1"/>
      <c r="I225" s="1"/>
      <c r="J225" s="1"/>
      <c r="K225" s="1"/>
      <c r="L225" s="1"/>
      <c r="M225" s="1"/>
      <c r="N225" s="1"/>
    </row>
    <row r="226" spans="1:14" s="3" customFormat="1" ht="13.5">
      <c r="A226" s="12" t="s">
        <v>117</v>
      </c>
      <c r="B226" s="353" t="s">
        <v>118</v>
      </c>
      <c r="C226" s="33">
        <f>SUM(C227:C227)</f>
        <v>16400</v>
      </c>
      <c r="D226" s="594"/>
      <c r="E226" s="142"/>
      <c r="F226" s="539"/>
      <c r="G226" s="1"/>
      <c r="H226" s="1"/>
      <c r="I226" s="1"/>
      <c r="J226" s="1"/>
      <c r="K226" s="1"/>
      <c r="L226" s="1"/>
      <c r="M226" s="1"/>
      <c r="N226" s="1"/>
    </row>
    <row r="227" spans="1:14" s="3" customFormat="1" ht="13.5" hidden="1">
      <c r="A227" s="13" t="s">
        <v>51</v>
      </c>
      <c r="B227" s="24" t="s">
        <v>52</v>
      </c>
      <c r="C227" s="821">
        <v>16400</v>
      </c>
      <c r="D227" s="586"/>
      <c r="E227" s="5"/>
      <c r="F227" s="539"/>
      <c r="G227" s="1"/>
      <c r="H227" s="1"/>
      <c r="I227" s="1"/>
      <c r="J227" s="1"/>
      <c r="K227" s="1"/>
      <c r="L227" s="1"/>
      <c r="M227" s="1"/>
      <c r="N227" s="1"/>
    </row>
    <row r="228" spans="1:14" s="3" customFormat="1" ht="13.5">
      <c r="A228" s="353" t="s">
        <v>129</v>
      </c>
      <c r="B228" s="26" t="s">
        <v>119</v>
      </c>
      <c r="C228" s="33">
        <f>SUM(C229)</f>
        <v>2100</v>
      </c>
      <c r="D228" s="586"/>
      <c r="E228" s="606"/>
      <c r="F228" s="539"/>
      <c r="G228" s="1"/>
      <c r="H228" s="1"/>
      <c r="I228" s="1"/>
      <c r="J228" s="1"/>
      <c r="K228" s="1"/>
      <c r="L228" s="1"/>
      <c r="M228" s="1"/>
      <c r="N228" s="1"/>
    </row>
    <row r="229" spans="1:14" s="5" customFormat="1" ht="13.5" hidden="1">
      <c r="A229" s="107" t="s">
        <v>168</v>
      </c>
      <c r="B229" s="25" t="s">
        <v>551</v>
      </c>
      <c r="C229" s="821">
        <v>2100</v>
      </c>
      <c r="D229" s="531"/>
      <c r="F229" s="208"/>
      <c r="G229" s="208"/>
      <c r="H229" s="208"/>
      <c r="I229" s="208"/>
      <c r="J229" s="208"/>
      <c r="K229" s="208"/>
      <c r="L229" s="208"/>
      <c r="M229" s="208"/>
      <c r="N229" s="208"/>
    </row>
    <row r="230" spans="1:14" s="3" customFormat="1" ht="13.5">
      <c r="A230" s="353" t="s">
        <v>134</v>
      </c>
      <c r="B230" s="26" t="s">
        <v>133</v>
      </c>
      <c r="C230" s="33">
        <f>SUM(C231)</f>
        <v>7700</v>
      </c>
      <c r="F230" s="1"/>
      <c r="G230" s="1"/>
      <c r="H230" s="208"/>
      <c r="I230" s="1"/>
      <c r="J230" s="1"/>
      <c r="K230" s="1"/>
      <c r="L230" s="1"/>
      <c r="M230" s="1"/>
      <c r="N230" s="1"/>
    </row>
    <row r="231" spans="1:14" s="5" customFormat="1" ht="13.5" hidden="1">
      <c r="A231" s="107" t="s">
        <v>103</v>
      </c>
      <c r="B231" s="25" t="s">
        <v>78</v>
      </c>
      <c r="C231" s="821">
        <v>7700</v>
      </c>
      <c r="F231" s="208"/>
      <c r="G231" s="208"/>
      <c r="H231" s="13"/>
      <c r="I231" s="208"/>
      <c r="J231" s="208"/>
      <c r="K231" s="208"/>
      <c r="L231" s="208"/>
      <c r="M231" s="208"/>
      <c r="N231" s="208"/>
    </row>
    <row r="232" spans="1:14" s="5" customFormat="1" ht="13.5">
      <c r="A232" s="353" t="s">
        <v>169</v>
      </c>
      <c r="B232" s="26" t="s">
        <v>135</v>
      </c>
      <c r="C232" s="33">
        <f>SUM(C233:C234)</f>
        <v>14550</v>
      </c>
      <c r="D232" s="531"/>
      <c r="F232" s="208"/>
      <c r="G232" s="208"/>
      <c r="H232" s="208"/>
      <c r="I232" s="208"/>
      <c r="J232" s="208"/>
      <c r="K232" s="208"/>
      <c r="L232" s="208"/>
      <c r="M232" s="208"/>
      <c r="N232" s="208"/>
    </row>
    <row r="233" spans="1:14" s="5" customFormat="1" ht="13.5" hidden="1">
      <c r="A233" s="107" t="s">
        <v>170</v>
      </c>
      <c r="B233" s="25" t="s">
        <v>70</v>
      </c>
      <c r="C233" s="821">
        <v>9550</v>
      </c>
      <c r="D233" s="607"/>
      <c r="E233" s="24"/>
      <c r="F233" s="208"/>
      <c r="G233" s="208"/>
      <c r="H233" s="208"/>
      <c r="I233" s="208"/>
      <c r="J233" s="208"/>
      <c r="K233" s="208"/>
      <c r="L233" s="208"/>
      <c r="M233" s="208"/>
      <c r="N233" s="208"/>
    </row>
    <row r="234" spans="1:14" s="3" customFormat="1" ht="13.5" hidden="1">
      <c r="A234" s="107" t="s">
        <v>173</v>
      </c>
      <c r="B234" s="24" t="s">
        <v>135</v>
      </c>
      <c r="C234" s="821">
        <v>5000</v>
      </c>
      <c r="F234" s="1"/>
      <c r="G234" s="1"/>
      <c r="H234" s="1"/>
      <c r="I234" s="1"/>
      <c r="J234" s="1"/>
      <c r="K234" s="1"/>
      <c r="L234" s="1"/>
      <c r="M234" s="1"/>
      <c r="N234" s="1"/>
    </row>
    <row r="235" spans="1:14" s="3" customFormat="1" ht="14.25" thickBot="1">
      <c r="A235" s="107"/>
      <c r="B235" s="24"/>
      <c r="C235" s="25"/>
      <c r="F235" s="1"/>
      <c r="G235" s="1"/>
      <c r="H235" s="1"/>
      <c r="I235" s="1"/>
      <c r="J235" s="1"/>
      <c r="K235" s="1"/>
      <c r="L235" s="1"/>
      <c r="M235" s="1"/>
      <c r="N235" s="1"/>
    </row>
    <row r="236" spans="1:14" s="353" customFormat="1" ht="13.5" customHeight="1" thickBot="1">
      <c r="A236" s="949" t="s">
        <v>3</v>
      </c>
      <c r="B236" s="950"/>
      <c r="C236" s="36">
        <f>C237+C239+C242+C244</f>
        <v>1448800</v>
      </c>
      <c r="E236" s="25"/>
      <c r="F236" s="12"/>
      <c r="G236" s="547"/>
      <c r="H236" s="12"/>
      <c r="I236" s="12"/>
      <c r="J236" s="12"/>
      <c r="K236" s="12"/>
      <c r="L236" s="12"/>
      <c r="M236" s="12"/>
      <c r="N236" s="12"/>
    </row>
    <row r="237" spans="1:7" s="142" customFormat="1" ht="13.5" customHeight="1">
      <c r="A237" s="353" t="s">
        <v>120</v>
      </c>
      <c r="B237" s="404" t="s">
        <v>121</v>
      </c>
      <c r="C237" s="34">
        <f>SUM(C238)</f>
        <v>9500</v>
      </c>
      <c r="D237" s="13"/>
      <c r="G237" s="536"/>
    </row>
    <row r="238" spans="1:14" s="107" customFormat="1" ht="13.5" customHeight="1" hidden="1">
      <c r="A238" s="107" t="s">
        <v>57</v>
      </c>
      <c r="B238" s="25" t="s">
        <v>18</v>
      </c>
      <c r="C238" s="821">
        <v>9500</v>
      </c>
      <c r="D238" s="13"/>
      <c r="F238" s="13"/>
      <c r="G238" s="539"/>
      <c r="H238" s="25"/>
      <c r="I238" s="13"/>
      <c r="J238" s="13"/>
      <c r="K238" s="13"/>
      <c r="L238" s="13"/>
      <c r="M238" s="13"/>
      <c r="N238" s="13"/>
    </row>
    <row r="239" spans="1:14" s="107" customFormat="1" ht="13.5" customHeight="1">
      <c r="A239" s="353" t="s">
        <v>122</v>
      </c>
      <c r="B239" s="33" t="s">
        <v>175</v>
      </c>
      <c r="C239" s="33">
        <f>SUM(C240:C241)</f>
        <v>227100</v>
      </c>
      <c r="D239" s="13"/>
      <c r="F239" s="13"/>
      <c r="G239" s="539"/>
      <c r="H239" s="25"/>
      <c r="I239" s="13"/>
      <c r="J239" s="13"/>
      <c r="K239" s="13"/>
      <c r="L239" s="13"/>
      <c r="M239" s="13"/>
      <c r="N239" s="13"/>
    </row>
    <row r="240" spans="1:14" s="107" customFormat="1" ht="13.5" customHeight="1" hidden="1">
      <c r="A240" s="107" t="s">
        <v>150</v>
      </c>
      <c r="B240" s="13" t="s">
        <v>149</v>
      </c>
      <c r="C240" s="821">
        <v>4500</v>
      </c>
      <c r="D240" s="580"/>
      <c r="F240" s="13"/>
      <c r="G240" s="539"/>
      <c r="H240" s="25"/>
      <c r="I240" s="13"/>
      <c r="J240" s="13"/>
      <c r="K240" s="13"/>
      <c r="L240" s="13"/>
      <c r="M240" s="13"/>
      <c r="N240" s="13"/>
    </row>
    <row r="241" spans="1:14" s="107" customFormat="1" ht="13.5" customHeight="1" hidden="1">
      <c r="A241" s="107" t="s">
        <v>53</v>
      </c>
      <c r="B241" s="25" t="s">
        <v>97</v>
      </c>
      <c r="C241" s="821">
        <f>122600+100000</f>
        <v>222600</v>
      </c>
      <c r="D241" s="541" t="s">
        <v>719</v>
      </c>
      <c r="E241" s="608"/>
      <c r="F241" s="531"/>
      <c r="G241" s="539"/>
      <c r="H241" s="13"/>
      <c r="I241" s="13"/>
      <c r="J241" s="13"/>
      <c r="K241" s="13"/>
      <c r="L241" s="13"/>
      <c r="M241" s="13"/>
      <c r="N241" s="13"/>
    </row>
    <row r="242" spans="1:14" s="107" customFormat="1" ht="13.5" customHeight="1">
      <c r="A242" s="12" t="s">
        <v>123</v>
      </c>
      <c r="B242" s="33" t="s">
        <v>124</v>
      </c>
      <c r="C242" s="33">
        <f>SUM(C243:C243)</f>
        <v>15500</v>
      </c>
      <c r="D242" s="580"/>
      <c r="F242" s="13"/>
      <c r="G242" s="539"/>
      <c r="H242" s="25"/>
      <c r="I242" s="13"/>
      <c r="J242" s="13"/>
      <c r="K242" s="13"/>
      <c r="L242" s="13"/>
      <c r="M242" s="13"/>
      <c r="N242" s="13"/>
    </row>
    <row r="243" spans="1:256" s="107" customFormat="1" ht="13.5" customHeight="1" hidden="1">
      <c r="A243" s="13" t="s">
        <v>184</v>
      </c>
      <c r="B243" s="13" t="s">
        <v>83</v>
      </c>
      <c r="C243" s="821">
        <v>15500</v>
      </c>
      <c r="E243" s="208"/>
      <c r="F243" s="13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208"/>
      <c r="AK243" s="208"/>
      <c r="AL243" s="208"/>
      <c r="AM243" s="208"/>
      <c r="AN243" s="208"/>
      <c r="AO243" s="208"/>
      <c r="AP243" s="208"/>
      <c r="AQ243" s="208"/>
      <c r="AR243" s="208"/>
      <c r="AS243" s="208"/>
      <c r="AT243" s="208"/>
      <c r="AU243" s="208"/>
      <c r="AV243" s="208"/>
      <c r="AW243" s="208"/>
      <c r="AX243" s="208"/>
      <c r="AY243" s="208"/>
      <c r="AZ243" s="208"/>
      <c r="BA243" s="208"/>
      <c r="BB243" s="208"/>
      <c r="BC243" s="208"/>
      <c r="BD243" s="208"/>
      <c r="BE243" s="208"/>
      <c r="BF243" s="208"/>
      <c r="BG243" s="208"/>
      <c r="BH243" s="208"/>
      <c r="BI243" s="208"/>
      <c r="BJ243" s="208"/>
      <c r="BK243" s="208"/>
      <c r="BL243" s="208"/>
      <c r="BM243" s="208"/>
      <c r="BN243" s="208"/>
      <c r="BO243" s="208"/>
      <c r="BP243" s="208"/>
      <c r="BQ243" s="208"/>
      <c r="BR243" s="208"/>
      <c r="BS243" s="208"/>
      <c r="BT243" s="208"/>
      <c r="BU243" s="208"/>
      <c r="BV243" s="208"/>
      <c r="BW243" s="208"/>
      <c r="BX243" s="208"/>
      <c r="BY243" s="208"/>
      <c r="BZ243" s="208"/>
      <c r="CA243" s="208"/>
      <c r="CB243" s="208"/>
      <c r="CC243" s="208"/>
      <c r="CD243" s="208"/>
      <c r="CE243" s="208"/>
      <c r="CF243" s="208"/>
      <c r="CG243" s="208"/>
      <c r="CH243" s="208"/>
      <c r="CI243" s="208"/>
      <c r="CJ243" s="208"/>
      <c r="CK243" s="208"/>
      <c r="CL243" s="208"/>
      <c r="CM243" s="208"/>
      <c r="CN243" s="208"/>
      <c r="CO243" s="208"/>
      <c r="CP243" s="208"/>
      <c r="CQ243" s="208"/>
      <c r="CR243" s="208"/>
      <c r="CS243" s="208"/>
      <c r="CT243" s="208"/>
      <c r="CU243" s="208"/>
      <c r="CV243" s="208"/>
      <c r="CW243" s="208"/>
      <c r="CX243" s="208"/>
      <c r="CY243" s="208"/>
      <c r="CZ243" s="208"/>
      <c r="DA243" s="208"/>
      <c r="DB243" s="208"/>
      <c r="DC243" s="208"/>
      <c r="DD243" s="208"/>
      <c r="DE243" s="208"/>
      <c r="DF243" s="208"/>
      <c r="DG243" s="208"/>
      <c r="DH243" s="208"/>
      <c r="DI243" s="208"/>
      <c r="DJ243" s="208"/>
      <c r="DK243" s="208"/>
      <c r="DL243" s="208"/>
      <c r="DM243" s="208"/>
      <c r="DN243" s="208"/>
      <c r="DO243" s="208"/>
      <c r="DP243" s="208"/>
      <c r="DQ243" s="208"/>
      <c r="DR243" s="208"/>
      <c r="DS243" s="208"/>
      <c r="DT243" s="208"/>
      <c r="DU243" s="208"/>
      <c r="DV243" s="208"/>
      <c r="DW243" s="208"/>
      <c r="DX243" s="208"/>
      <c r="DY243" s="208"/>
      <c r="DZ243" s="208"/>
      <c r="EA243" s="208"/>
      <c r="EB243" s="208"/>
      <c r="EC243" s="208"/>
      <c r="ED243" s="208"/>
      <c r="EE243" s="208"/>
      <c r="EF243" s="208"/>
      <c r="EG243" s="208"/>
      <c r="EH243" s="208"/>
      <c r="EI243" s="208"/>
      <c r="EJ243" s="208"/>
      <c r="EK243" s="208"/>
      <c r="EL243" s="208"/>
      <c r="EM243" s="208"/>
      <c r="EN243" s="208"/>
      <c r="EO243" s="208"/>
      <c r="EP243" s="208"/>
      <c r="EQ243" s="208"/>
      <c r="ER243" s="208"/>
      <c r="ES243" s="208"/>
      <c r="ET243" s="208"/>
      <c r="EU243" s="208"/>
      <c r="EV243" s="208"/>
      <c r="EW243" s="208"/>
      <c r="EX243" s="208"/>
      <c r="EY243" s="208"/>
      <c r="EZ243" s="208"/>
      <c r="FA243" s="208"/>
      <c r="FB243" s="208"/>
      <c r="FC243" s="208"/>
      <c r="FD243" s="208"/>
      <c r="FE243" s="208"/>
      <c r="FF243" s="208"/>
      <c r="FG243" s="208"/>
      <c r="FH243" s="208"/>
      <c r="FI243" s="208"/>
      <c r="FJ243" s="208"/>
      <c r="FK243" s="208"/>
      <c r="FL243" s="208"/>
      <c r="FM243" s="208"/>
      <c r="FN243" s="208"/>
      <c r="FO243" s="208"/>
      <c r="FP243" s="208"/>
      <c r="FQ243" s="208"/>
      <c r="FR243" s="208"/>
      <c r="FS243" s="208"/>
      <c r="FT243" s="208"/>
      <c r="FU243" s="208"/>
      <c r="FV243" s="208"/>
      <c r="FW243" s="208"/>
      <c r="FX243" s="208"/>
      <c r="FY243" s="208"/>
      <c r="FZ243" s="208"/>
      <c r="GA243" s="208"/>
      <c r="GB243" s="208"/>
      <c r="GC243" s="208"/>
      <c r="GD243" s="208"/>
      <c r="GE243" s="208"/>
      <c r="GF243" s="208"/>
      <c r="GG243" s="208"/>
      <c r="GH243" s="208"/>
      <c r="GI243" s="208"/>
      <c r="GJ243" s="208"/>
      <c r="GK243" s="208"/>
      <c r="GL243" s="208"/>
      <c r="GM243" s="208"/>
      <c r="GN243" s="208"/>
      <c r="GO243" s="208"/>
      <c r="GP243" s="208"/>
      <c r="GQ243" s="208"/>
      <c r="GR243" s="208"/>
      <c r="GS243" s="208"/>
      <c r="GT243" s="208"/>
      <c r="GU243" s="208"/>
      <c r="GV243" s="208"/>
      <c r="GW243" s="208"/>
      <c r="GX243" s="208"/>
      <c r="GY243" s="208"/>
      <c r="GZ243" s="208"/>
      <c r="HA243" s="208"/>
      <c r="HB243" s="208"/>
      <c r="HC243" s="208"/>
      <c r="HD243" s="208"/>
      <c r="HE243" s="208"/>
      <c r="HF243" s="208"/>
      <c r="HG243" s="208"/>
      <c r="HH243" s="208"/>
      <c r="HI243" s="208"/>
      <c r="HJ243" s="208"/>
      <c r="HK243" s="208"/>
      <c r="HL243" s="208"/>
      <c r="HM243" s="208"/>
      <c r="HN243" s="208"/>
      <c r="HO243" s="208"/>
      <c r="HP243" s="208"/>
      <c r="HQ243" s="208"/>
      <c r="HR243" s="208"/>
      <c r="HS243" s="208"/>
      <c r="HT243" s="208"/>
      <c r="HU243" s="208"/>
      <c r="HV243" s="208"/>
      <c r="HW243" s="208"/>
      <c r="HX243" s="208"/>
      <c r="HY243" s="208"/>
      <c r="HZ243" s="208"/>
      <c r="IA243" s="208"/>
      <c r="IB243" s="208"/>
      <c r="IC243" s="208"/>
      <c r="ID243" s="208"/>
      <c r="IE243" s="208"/>
      <c r="IF243" s="208"/>
      <c r="IG243" s="208"/>
      <c r="IH243" s="208"/>
      <c r="II243" s="208"/>
      <c r="IJ243" s="208"/>
      <c r="IK243" s="208"/>
      <c r="IL243" s="208"/>
      <c r="IM243" s="208"/>
      <c r="IN243" s="208"/>
      <c r="IO243" s="208"/>
      <c r="IP243" s="208"/>
      <c r="IQ243" s="208"/>
      <c r="IR243" s="208"/>
      <c r="IS243" s="208"/>
      <c r="IT243" s="208"/>
      <c r="IU243" s="208"/>
      <c r="IV243" s="208"/>
    </row>
    <row r="244" spans="1:14" s="107" customFormat="1" ht="13.5" customHeight="1">
      <c r="A244" s="353" t="s">
        <v>125</v>
      </c>
      <c r="B244" s="33" t="s">
        <v>8</v>
      </c>
      <c r="C244" s="33">
        <f>SUM(C245:C247)</f>
        <v>1196700</v>
      </c>
      <c r="D244" s="24"/>
      <c r="E244" s="25"/>
      <c r="F244" s="539"/>
      <c r="G244" s="539"/>
      <c r="H244" s="13"/>
      <c r="I244" s="13"/>
      <c r="J244" s="13"/>
      <c r="K244" s="13"/>
      <c r="L244" s="13"/>
      <c r="M244" s="13"/>
      <c r="N244" s="13"/>
    </row>
    <row r="245" spans="1:14" s="107" customFormat="1" ht="13.5" customHeight="1" hidden="1">
      <c r="A245" s="107" t="s">
        <v>102</v>
      </c>
      <c r="B245" s="25" t="s">
        <v>8</v>
      </c>
      <c r="C245" s="821">
        <f>97200+250000</f>
        <v>347200</v>
      </c>
      <c r="D245" s="24"/>
      <c r="E245" s="25"/>
      <c r="F245" s="539"/>
      <c r="G245" s="539"/>
      <c r="H245" s="13"/>
      <c r="I245" s="13"/>
      <c r="J245" s="25"/>
      <c r="K245" s="13"/>
      <c r="L245" s="13"/>
      <c r="M245" s="13"/>
      <c r="N245" s="13"/>
    </row>
    <row r="246" spans="1:14" s="107" customFormat="1" ht="13.5" customHeight="1" hidden="1">
      <c r="A246" s="107" t="s">
        <v>205</v>
      </c>
      <c r="B246" s="25" t="s">
        <v>54</v>
      </c>
      <c r="C246" s="821">
        <v>4500</v>
      </c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s="107" customFormat="1" ht="13.5" customHeight="1" hidden="1">
      <c r="A247" s="107" t="s">
        <v>100</v>
      </c>
      <c r="B247" s="25" t="s">
        <v>7</v>
      </c>
      <c r="C247" s="821">
        <f>795000+50000</f>
        <v>845000</v>
      </c>
      <c r="F247" s="13"/>
      <c r="G247" s="13"/>
      <c r="H247" s="580"/>
      <c r="I247" s="13"/>
      <c r="J247" s="539"/>
      <c r="K247" s="539"/>
      <c r="L247" s="13"/>
      <c r="M247" s="13"/>
      <c r="N247" s="13"/>
    </row>
    <row r="248" spans="2:14" s="107" customFormat="1" ht="13.5" customHeight="1" thickBot="1">
      <c r="B248" s="25"/>
      <c r="C248" s="25"/>
      <c r="F248" s="13"/>
      <c r="G248" s="13"/>
      <c r="H248" s="534"/>
      <c r="I248" s="531"/>
      <c r="J248" s="13"/>
      <c r="K248" s="13"/>
      <c r="L248" s="13"/>
      <c r="M248" s="13"/>
      <c r="N248" s="13"/>
    </row>
    <row r="249" spans="1:14" s="353" customFormat="1" ht="13.5" customHeight="1" thickBot="1">
      <c r="A249" s="951" t="s">
        <v>4</v>
      </c>
      <c r="B249" s="952"/>
      <c r="C249" s="32">
        <f>C250+C252</f>
        <v>32600</v>
      </c>
      <c r="F249" s="12"/>
      <c r="G249" s="12"/>
      <c r="H249" s="595"/>
      <c r="I249" s="306"/>
      <c r="J249" s="13"/>
      <c r="K249" s="13"/>
      <c r="L249" s="13"/>
      <c r="M249" s="12"/>
      <c r="N249" s="12"/>
    </row>
    <row r="250" spans="1:12" s="142" customFormat="1" ht="13.5" customHeight="1">
      <c r="A250" s="353" t="s">
        <v>126</v>
      </c>
      <c r="B250" s="404" t="s">
        <v>127</v>
      </c>
      <c r="C250" s="34">
        <f>SUM(C251)</f>
        <v>21600</v>
      </c>
      <c r="D250" s="534"/>
      <c r="E250" s="180"/>
      <c r="F250" s="536"/>
      <c r="G250" s="536"/>
      <c r="H250" s="534"/>
      <c r="I250" s="13"/>
      <c r="J250" s="12"/>
      <c r="K250" s="531"/>
      <c r="L250" s="12"/>
    </row>
    <row r="251" spans="1:14" s="5" customFormat="1" ht="13.5" hidden="1">
      <c r="A251" s="107" t="s">
        <v>101</v>
      </c>
      <c r="B251" s="107" t="s">
        <v>152</v>
      </c>
      <c r="C251" s="821">
        <v>21600</v>
      </c>
      <c r="D251" s="531"/>
      <c r="E251" s="585"/>
      <c r="F251" s="539"/>
      <c r="G251" s="575"/>
      <c r="H251" s="208"/>
      <c r="I251" s="208"/>
      <c r="J251" s="208"/>
      <c r="K251" s="208"/>
      <c r="L251" s="208"/>
      <c r="M251" s="208"/>
      <c r="N251" s="208"/>
    </row>
    <row r="252" spans="1:14" s="5" customFormat="1" ht="13.5">
      <c r="A252" s="353" t="s">
        <v>188</v>
      </c>
      <c r="B252" s="26" t="s">
        <v>145</v>
      </c>
      <c r="C252" s="26">
        <f>SUM(C253)</f>
        <v>11000</v>
      </c>
      <c r="D252" s="531"/>
      <c r="F252" s="547"/>
      <c r="G252" s="575"/>
      <c r="H252" s="208"/>
      <c r="I252" s="934"/>
      <c r="J252" s="208"/>
      <c r="K252" s="208"/>
      <c r="L252" s="208"/>
      <c r="M252" s="208"/>
      <c r="N252" s="208"/>
    </row>
    <row r="253" spans="1:14" s="5" customFormat="1" ht="13.5" hidden="1">
      <c r="A253" s="107" t="s">
        <v>189</v>
      </c>
      <c r="B253" s="24" t="s">
        <v>56</v>
      </c>
      <c r="C253" s="821">
        <v>11000</v>
      </c>
      <c r="D253" s="531"/>
      <c r="E253" s="531"/>
      <c r="F253" s="531"/>
      <c r="G253" s="575"/>
      <c r="H253" s="208"/>
      <c r="I253" s="208"/>
      <c r="J253" s="208"/>
      <c r="K253" s="208"/>
      <c r="L253" s="208"/>
      <c r="M253" s="208"/>
      <c r="N253" s="208"/>
    </row>
    <row r="254" spans="1:14" s="5" customFormat="1" ht="13.5">
      <c r="A254" s="107"/>
      <c r="B254" s="24"/>
      <c r="C254" s="25"/>
      <c r="D254" s="531"/>
      <c r="E254" s="531"/>
      <c r="F254" s="531"/>
      <c r="G254" s="575"/>
      <c r="H254" s="208"/>
      <c r="I254" s="208"/>
      <c r="J254" s="208"/>
      <c r="K254" s="208"/>
      <c r="L254" s="208"/>
      <c r="M254" s="208"/>
      <c r="N254" s="208"/>
    </row>
    <row r="255" spans="1:7" s="1" customFormat="1" ht="13.5" customHeight="1" thickBot="1">
      <c r="A255" s="597"/>
      <c r="B255" s="597"/>
      <c r="C255" s="24"/>
      <c r="D255" s="23"/>
      <c r="E255" s="25"/>
      <c r="F255" s="609"/>
      <c r="G255" s="610"/>
    </row>
    <row r="256" spans="1:7" s="270" customFormat="1" ht="13.5" customHeight="1">
      <c r="A256" s="64" t="s">
        <v>761</v>
      </c>
      <c r="B256" s="221"/>
      <c r="C256" s="65"/>
      <c r="D256" s="67" t="s">
        <v>6</v>
      </c>
      <c r="E256" s="44">
        <v>1505</v>
      </c>
      <c r="F256" s="600"/>
      <c r="G256" s="587"/>
    </row>
    <row r="257" spans="1:7" s="270" customFormat="1" ht="13.5" customHeight="1" thickBot="1">
      <c r="A257" s="45"/>
      <c r="B257" s="208"/>
      <c r="C257" s="172"/>
      <c r="D257" s="447"/>
      <c r="E257" s="576"/>
      <c r="F257" s="600"/>
      <c r="G257" s="587"/>
    </row>
    <row r="258" spans="1:7" s="270" customFormat="1" ht="13.5" customHeight="1">
      <c r="A258" s="64" t="s">
        <v>762</v>
      </c>
      <c r="B258" s="221"/>
      <c r="C258" s="65"/>
      <c r="D258" s="66"/>
      <c r="E258" s="449"/>
      <c r="F258" s="600"/>
      <c r="G258" s="587"/>
    </row>
    <row r="259" spans="1:7" s="270" customFormat="1" ht="13.5" customHeight="1">
      <c r="A259" s="45" t="s">
        <v>763</v>
      </c>
      <c r="B259" s="208"/>
      <c r="C259" s="172"/>
      <c r="D259" s="577"/>
      <c r="E259" s="450"/>
      <c r="F259" s="600"/>
      <c r="G259" s="587"/>
    </row>
    <row r="260" spans="1:7" s="270" customFormat="1" ht="13.5" customHeight="1">
      <c r="A260" s="45" t="s">
        <v>764</v>
      </c>
      <c r="B260" s="208"/>
      <c r="C260" s="172"/>
      <c r="D260" s="577"/>
      <c r="E260" s="450"/>
      <c r="F260" s="600"/>
      <c r="G260" s="587"/>
    </row>
    <row r="261" spans="1:7" s="270" customFormat="1" ht="13.5" customHeight="1">
      <c r="A261" s="45" t="s">
        <v>765</v>
      </c>
      <c r="B261" s="208"/>
      <c r="C261" s="172"/>
      <c r="D261" s="577"/>
      <c r="E261" s="450"/>
      <c r="F261" s="211"/>
      <c r="G261" s="587"/>
    </row>
    <row r="262" spans="1:7" s="270" customFormat="1" ht="13.5" customHeight="1">
      <c r="A262" s="45" t="s">
        <v>766</v>
      </c>
      <c r="B262" s="208"/>
      <c r="C262" s="172"/>
      <c r="D262" s="577"/>
      <c r="E262" s="450"/>
      <c r="F262" s="211"/>
      <c r="G262" s="587"/>
    </row>
    <row r="263" spans="1:5" s="270" customFormat="1" ht="13.5" customHeight="1">
      <c r="A263" s="45" t="s">
        <v>767</v>
      </c>
      <c r="B263" s="208"/>
      <c r="C263" s="172"/>
      <c r="D263" s="577"/>
      <c r="E263" s="450"/>
    </row>
    <row r="264" spans="1:5" s="270" customFormat="1" ht="13.5" customHeight="1">
      <c r="A264" s="45" t="s">
        <v>768</v>
      </c>
      <c r="B264" s="208"/>
      <c r="C264" s="172"/>
      <c r="D264" s="577"/>
      <c r="E264" s="450"/>
    </row>
    <row r="265" spans="1:5" s="270" customFormat="1" ht="13.5" customHeight="1">
      <c r="A265" s="45" t="s">
        <v>769</v>
      </c>
      <c r="B265" s="208"/>
      <c r="C265" s="172"/>
      <c r="D265" s="577"/>
      <c r="E265" s="450"/>
    </row>
    <row r="266" spans="1:5" s="270" customFormat="1" ht="13.5" customHeight="1">
      <c r="A266" s="45" t="s">
        <v>770</v>
      </c>
      <c r="B266" s="208"/>
      <c r="C266" s="172"/>
      <c r="D266" s="577"/>
      <c r="E266" s="450"/>
    </row>
    <row r="267" spans="1:5" s="270" customFormat="1" ht="13.5" customHeight="1" thickBot="1">
      <c r="A267" s="49" t="s">
        <v>771</v>
      </c>
      <c r="B267" s="205"/>
      <c r="C267" s="119"/>
      <c r="D267" s="136"/>
      <c r="E267" s="452"/>
    </row>
    <row r="268" spans="1:5" s="510" customFormat="1" ht="13.5" customHeight="1">
      <c r="A268" s="52" t="s">
        <v>1365</v>
      </c>
      <c r="B268" s="52"/>
      <c r="C268" s="25"/>
      <c r="D268" s="23"/>
      <c r="E268" s="453"/>
    </row>
    <row r="269" spans="1:5" s="270" customFormat="1" ht="13.5" customHeight="1">
      <c r="A269" s="52" t="s">
        <v>772</v>
      </c>
      <c r="B269" s="52"/>
      <c r="C269" s="25"/>
      <c r="D269" s="23"/>
      <c r="E269" s="453"/>
    </row>
    <row r="270" spans="1:7" s="1" customFormat="1" ht="13.5" customHeight="1">
      <c r="A270" s="52" t="s">
        <v>1421</v>
      </c>
      <c r="B270" s="52"/>
      <c r="C270" s="25"/>
      <c r="D270" s="23"/>
      <c r="E270" s="453"/>
      <c r="F270" s="609"/>
      <c r="G270" s="610"/>
    </row>
    <row r="271" spans="1:7" s="1" customFormat="1" ht="13.5" customHeight="1" thickBot="1">
      <c r="A271" s="111" t="s">
        <v>11</v>
      </c>
      <c r="B271" s="111"/>
      <c r="C271" s="556"/>
      <c r="D271" s="578"/>
      <c r="E271" s="557"/>
      <c r="F271" s="609"/>
      <c r="G271" s="610"/>
    </row>
    <row r="272" spans="1:7" s="1" customFormat="1" ht="13.5" customHeight="1" thickBot="1">
      <c r="A272" s="54" t="s">
        <v>0</v>
      </c>
      <c r="B272" s="54"/>
      <c r="C272" s="55"/>
      <c r="D272" s="56" t="s">
        <v>773</v>
      </c>
      <c r="E272" s="191">
        <f>+C274+C293+C309+C313</f>
        <v>1582770</v>
      </c>
      <c r="F272" s="611"/>
      <c r="G272" s="612"/>
    </row>
    <row r="273" spans="1:7" s="1" customFormat="1" ht="13.5" customHeight="1" thickBot="1">
      <c r="A273" s="613"/>
      <c r="B273" s="614"/>
      <c r="C273" s="615"/>
      <c r="D273" s="34"/>
      <c r="F273" s="522"/>
      <c r="G273" s="612"/>
    </row>
    <row r="274" spans="1:14" s="353" customFormat="1" ht="13.5" customHeight="1" thickBot="1">
      <c r="A274" s="947" t="s">
        <v>2</v>
      </c>
      <c r="B274" s="948"/>
      <c r="C274" s="38">
        <f>+C275+C277+C279+C281+C283+C285+C287</f>
        <v>265130</v>
      </c>
      <c r="D274" s="584"/>
      <c r="F274" s="522"/>
      <c r="G274" s="547"/>
      <c r="H274" s="12"/>
      <c r="I274" s="12"/>
      <c r="J274" s="12"/>
      <c r="K274" s="12"/>
      <c r="L274" s="12"/>
      <c r="M274" s="12"/>
      <c r="N274" s="12"/>
    </row>
    <row r="275" spans="1:7" s="142" customFormat="1" ht="13.5" customHeight="1">
      <c r="A275" s="12" t="s">
        <v>113</v>
      </c>
      <c r="B275" s="404" t="s">
        <v>114</v>
      </c>
      <c r="C275" s="34">
        <f>SUM(C276)</f>
        <v>185500</v>
      </c>
      <c r="D275" s="535"/>
      <c r="F275" s="522"/>
      <c r="G275" s="536"/>
    </row>
    <row r="276" spans="1:7" s="13" customFormat="1" ht="13.5" customHeight="1" hidden="1">
      <c r="A276" s="13" t="s">
        <v>50</v>
      </c>
      <c r="B276" s="13" t="s">
        <v>49</v>
      </c>
      <c r="C276" s="821">
        <v>185500</v>
      </c>
      <c r="D276" s="616"/>
      <c r="E276" s="531"/>
      <c r="F276" s="531"/>
      <c r="G276" s="575"/>
    </row>
    <row r="277" spans="1:6" s="13" customFormat="1" ht="13.5" customHeight="1">
      <c r="A277" s="12" t="s">
        <v>223</v>
      </c>
      <c r="B277" s="12" t="s">
        <v>256</v>
      </c>
      <c r="C277" s="33">
        <f>SUM(C278)</f>
        <v>8100</v>
      </c>
      <c r="D277" s="142"/>
      <c r="F277" s="575"/>
    </row>
    <row r="278" spans="1:6" s="13" customFormat="1" ht="13.5" customHeight="1" hidden="1">
      <c r="A278" s="13" t="s">
        <v>271</v>
      </c>
      <c r="B278" s="13" t="s">
        <v>270</v>
      </c>
      <c r="C278" s="821">
        <v>8100</v>
      </c>
      <c r="D278" s="606"/>
      <c r="F278" s="575"/>
    </row>
    <row r="279" spans="1:7" s="13" customFormat="1" ht="13.5" customHeight="1">
      <c r="A279" s="12" t="s">
        <v>115</v>
      </c>
      <c r="B279" s="12" t="s">
        <v>116</v>
      </c>
      <c r="C279" s="33">
        <f>SUM(C280)</f>
        <v>9480</v>
      </c>
      <c r="D279" s="616"/>
      <c r="E279" s="531"/>
      <c r="F279" s="531"/>
      <c r="G279" s="575"/>
    </row>
    <row r="280" spans="1:14" s="3" customFormat="1" ht="13.5" hidden="1">
      <c r="A280" s="13" t="s">
        <v>96</v>
      </c>
      <c r="B280" s="107" t="s">
        <v>71</v>
      </c>
      <c r="C280" s="821">
        <v>9480</v>
      </c>
      <c r="D280" s="616"/>
      <c r="E280" s="531"/>
      <c r="F280" s="531"/>
      <c r="G280" s="208"/>
      <c r="H280" s="208"/>
      <c r="I280" s="208"/>
      <c r="J280" s="208"/>
      <c r="K280" s="1"/>
      <c r="L280" s="1"/>
      <c r="M280" s="1"/>
      <c r="N280" s="1"/>
    </row>
    <row r="281" spans="1:14" s="3" customFormat="1" ht="13.5">
      <c r="A281" s="12" t="s">
        <v>117</v>
      </c>
      <c r="B281" s="353" t="s">
        <v>118</v>
      </c>
      <c r="C281" s="26">
        <f>SUM(C282)</f>
        <v>23550</v>
      </c>
      <c r="D281" s="616"/>
      <c r="E281" s="531"/>
      <c r="F281" s="531"/>
      <c r="G281" s="208"/>
      <c r="H281" s="208"/>
      <c r="I281" s="208"/>
      <c r="J281" s="208"/>
      <c r="K281" s="1"/>
      <c r="L281" s="1"/>
      <c r="M281" s="1"/>
      <c r="N281" s="1"/>
    </row>
    <row r="282" spans="1:14" s="3" customFormat="1" ht="13.5" hidden="1">
      <c r="A282" s="13" t="s">
        <v>51</v>
      </c>
      <c r="B282" s="24" t="s">
        <v>52</v>
      </c>
      <c r="C282" s="821">
        <v>23550</v>
      </c>
      <c r="D282" s="616"/>
      <c r="E282" s="5"/>
      <c r="F282" s="575"/>
      <c r="G282" s="575"/>
      <c r="H282" s="208"/>
      <c r="I282" s="208"/>
      <c r="J282" s="208"/>
      <c r="K282" s="1"/>
      <c r="L282" s="1"/>
      <c r="M282" s="1"/>
      <c r="N282" s="1"/>
    </row>
    <row r="283" spans="1:14" s="3" customFormat="1" ht="13.5">
      <c r="A283" s="353" t="s">
        <v>129</v>
      </c>
      <c r="B283" s="26" t="s">
        <v>119</v>
      </c>
      <c r="C283" s="26">
        <f>SUM(C284)</f>
        <v>3300</v>
      </c>
      <c r="D283" s="616"/>
      <c r="E283" s="142"/>
      <c r="F283" s="575"/>
      <c r="G283" s="575"/>
      <c r="H283" s="208"/>
      <c r="I283" s="208"/>
      <c r="J283" s="208"/>
      <c r="K283" s="1"/>
      <c r="L283" s="1"/>
      <c r="M283" s="1"/>
      <c r="N283" s="1"/>
    </row>
    <row r="284" spans="1:14" s="5" customFormat="1" ht="13.5" hidden="1">
      <c r="A284" s="107" t="s">
        <v>168</v>
      </c>
      <c r="B284" s="25" t="s">
        <v>551</v>
      </c>
      <c r="C284" s="821">
        <v>3300</v>
      </c>
      <c r="D284" s="616"/>
      <c r="E284" s="142"/>
      <c r="F284" s="575"/>
      <c r="G284" s="575"/>
      <c r="H284" s="208"/>
      <c r="I284" s="208"/>
      <c r="J284" s="208"/>
      <c r="K284" s="208"/>
      <c r="L284" s="208"/>
      <c r="M284" s="208"/>
      <c r="N284" s="208"/>
    </row>
    <row r="285" spans="1:14" s="3" customFormat="1" ht="13.5">
      <c r="A285" s="353" t="s">
        <v>134</v>
      </c>
      <c r="B285" s="26" t="s">
        <v>133</v>
      </c>
      <c r="C285" s="33">
        <f>SUM(C286)</f>
        <v>6400</v>
      </c>
      <c r="F285" s="1"/>
      <c r="G285" s="1"/>
      <c r="H285" s="208"/>
      <c r="I285" s="1"/>
      <c r="J285" s="1"/>
      <c r="K285" s="1"/>
      <c r="L285" s="1"/>
      <c r="M285" s="1"/>
      <c r="N285" s="1"/>
    </row>
    <row r="286" spans="1:14" s="5" customFormat="1" ht="13.5" hidden="1">
      <c r="A286" s="107" t="s">
        <v>103</v>
      </c>
      <c r="B286" s="25" t="s">
        <v>78</v>
      </c>
      <c r="C286" s="821">
        <v>6400</v>
      </c>
      <c r="F286" s="208"/>
      <c r="G286" s="208"/>
      <c r="H286" s="13"/>
      <c r="I286" s="208"/>
      <c r="J286" s="208"/>
      <c r="K286" s="208"/>
      <c r="L286" s="208"/>
      <c r="M286" s="208"/>
      <c r="N286" s="208"/>
    </row>
    <row r="287" spans="1:14" s="5" customFormat="1" ht="13.5">
      <c r="A287" s="353" t="s">
        <v>169</v>
      </c>
      <c r="B287" s="26" t="s">
        <v>135</v>
      </c>
      <c r="C287" s="26">
        <f>SUM(C288:C291)</f>
        <v>28800</v>
      </c>
      <c r="D287" s="616"/>
      <c r="E287" s="142"/>
      <c r="F287" s="575"/>
      <c r="G287" s="575"/>
      <c r="H287" s="208"/>
      <c r="I287" s="208"/>
      <c r="J287" s="208"/>
      <c r="K287" s="208"/>
      <c r="L287" s="208"/>
      <c r="M287" s="208"/>
      <c r="N287" s="208"/>
    </row>
    <row r="288" spans="1:14" s="5" customFormat="1" ht="13.5" hidden="1">
      <c r="A288" s="107" t="s">
        <v>170</v>
      </c>
      <c r="B288" s="25" t="s">
        <v>70</v>
      </c>
      <c r="C288" s="821">
        <v>16200</v>
      </c>
      <c r="D288" s="531"/>
      <c r="E288" s="142"/>
      <c r="F288" s="539"/>
      <c r="G288" s="208"/>
      <c r="H288" s="208"/>
      <c r="I288" s="208"/>
      <c r="J288" s="208"/>
      <c r="K288" s="208"/>
      <c r="L288" s="208"/>
      <c r="M288" s="208"/>
      <c r="N288" s="208"/>
    </row>
    <row r="289" spans="1:14" s="5" customFormat="1" ht="13.5" hidden="1">
      <c r="A289" s="107" t="s">
        <v>325</v>
      </c>
      <c r="B289" s="25" t="s">
        <v>326</v>
      </c>
      <c r="C289" s="821">
        <v>4600</v>
      </c>
      <c r="D289" s="531"/>
      <c r="E289" s="142"/>
      <c r="F289" s="539"/>
      <c r="G289" s="208"/>
      <c r="H289" s="208"/>
      <c r="I289" s="208"/>
      <c r="J289" s="208"/>
      <c r="K289" s="208"/>
      <c r="L289" s="208"/>
      <c r="M289" s="208"/>
      <c r="N289" s="208"/>
    </row>
    <row r="290" spans="1:14" s="5" customFormat="1" ht="13.5" hidden="1">
      <c r="A290" s="107" t="s">
        <v>171</v>
      </c>
      <c r="B290" s="25" t="s">
        <v>75</v>
      </c>
      <c r="C290" s="821">
        <v>4000</v>
      </c>
      <c r="D290" s="616"/>
      <c r="F290" s="539"/>
      <c r="G290" s="575"/>
      <c r="H290" s="208"/>
      <c r="I290" s="208"/>
      <c r="J290" s="208"/>
      <c r="K290" s="208"/>
      <c r="L290" s="208"/>
      <c r="M290" s="208"/>
      <c r="N290" s="208"/>
    </row>
    <row r="291" spans="1:14" s="3" customFormat="1" ht="13.5" hidden="1">
      <c r="A291" s="107" t="s">
        <v>173</v>
      </c>
      <c r="B291" s="24" t="s">
        <v>135</v>
      </c>
      <c r="C291" s="821">
        <v>4000</v>
      </c>
      <c r="D291" s="616"/>
      <c r="E291" s="531"/>
      <c r="F291" s="531"/>
      <c r="G291" s="575"/>
      <c r="H291" s="208"/>
      <c r="I291" s="208"/>
      <c r="J291" s="208"/>
      <c r="K291" s="1"/>
      <c r="L291" s="1"/>
      <c r="M291" s="1"/>
      <c r="N291" s="1"/>
    </row>
    <row r="292" spans="1:14" s="3" customFormat="1" ht="14.25" thickBot="1">
      <c r="A292" s="107"/>
      <c r="B292" s="24"/>
      <c r="C292" s="24"/>
      <c r="D292" s="616"/>
      <c r="E292" s="531"/>
      <c r="F292" s="531"/>
      <c r="G292" s="575"/>
      <c r="H292" s="208"/>
      <c r="I292" s="208"/>
      <c r="J292" s="208"/>
      <c r="K292" s="1"/>
      <c r="L292" s="1"/>
      <c r="M292" s="1"/>
      <c r="N292" s="1"/>
    </row>
    <row r="293" spans="1:14" s="353" customFormat="1" ht="13.5" customHeight="1" thickBot="1">
      <c r="A293" s="949" t="s">
        <v>3</v>
      </c>
      <c r="B293" s="950"/>
      <c r="C293" s="36">
        <f>C294+C296+C298+C301+C303</f>
        <v>1146740</v>
      </c>
      <c r="D293" s="616"/>
      <c r="E293" s="584"/>
      <c r="F293" s="584"/>
      <c r="G293" s="547"/>
      <c r="H293" s="12"/>
      <c r="I293" s="12"/>
      <c r="J293" s="12"/>
      <c r="K293" s="12"/>
      <c r="L293" s="12"/>
      <c r="M293" s="12"/>
      <c r="N293" s="12"/>
    </row>
    <row r="294" spans="1:7" s="142" customFormat="1" ht="13.5" customHeight="1">
      <c r="A294" s="353" t="s">
        <v>120</v>
      </c>
      <c r="B294" s="404" t="s">
        <v>121</v>
      </c>
      <c r="C294" s="34">
        <f>SUM(C295:C295)</f>
        <v>8000</v>
      </c>
      <c r="D294" s="617"/>
      <c r="E294" s="535"/>
      <c r="F294" s="535"/>
      <c r="G294" s="536"/>
    </row>
    <row r="295" spans="1:14" s="107" customFormat="1" ht="13.5" customHeight="1" hidden="1">
      <c r="A295" s="107" t="s">
        <v>57</v>
      </c>
      <c r="B295" s="25" t="s">
        <v>18</v>
      </c>
      <c r="C295" s="821">
        <v>8000</v>
      </c>
      <c r="D295" s="616"/>
      <c r="E295" s="531"/>
      <c r="F295" s="531"/>
      <c r="G295" s="539"/>
      <c r="H295" s="25"/>
      <c r="I295" s="13"/>
      <c r="J295" s="13"/>
      <c r="K295" s="13"/>
      <c r="L295" s="13"/>
      <c r="M295" s="13"/>
      <c r="N295" s="13"/>
    </row>
    <row r="296" spans="1:14" s="107" customFormat="1" ht="13.5" customHeight="1">
      <c r="A296" s="12" t="s">
        <v>130</v>
      </c>
      <c r="B296" s="33" t="s">
        <v>131</v>
      </c>
      <c r="C296" s="33">
        <f>SUM(C297)</f>
        <v>7560</v>
      </c>
      <c r="D296" s="616"/>
      <c r="E296" s="531"/>
      <c r="F296" s="531"/>
      <c r="G296" s="539"/>
      <c r="H296" s="25"/>
      <c r="I296" s="13"/>
      <c r="J296" s="13"/>
      <c r="K296" s="13"/>
      <c r="L296" s="13"/>
      <c r="M296" s="13"/>
      <c r="N296" s="13"/>
    </row>
    <row r="297" spans="1:14" s="107" customFormat="1" ht="13.5" customHeight="1" hidden="1">
      <c r="A297" s="13" t="s">
        <v>148</v>
      </c>
      <c r="B297" s="13" t="s">
        <v>77</v>
      </c>
      <c r="C297" s="821">
        <v>7560</v>
      </c>
      <c r="D297" s="616"/>
      <c r="E297" s="531"/>
      <c r="F297" s="531"/>
      <c r="G297" s="539"/>
      <c r="H297" s="25"/>
      <c r="I297" s="13"/>
      <c r="J297" s="13"/>
      <c r="K297" s="13"/>
      <c r="L297" s="13"/>
      <c r="M297" s="13"/>
      <c r="N297" s="13"/>
    </row>
    <row r="298" spans="1:14" s="107" customFormat="1" ht="13.5" customHeight="1">
      <c r="A298" s="353" t="s">
        <v>122</v>
      </c>
      <c r="B298" s="33" t="s">
        <v>175</v>
      </c>
      <c r="C298" s="33">
        <f>SUM(C299:C300)</f>
        <v>879300</v>
      </c>
      <c r="D298" s="616"/>
      <c r="E298" s="531"/>
      <c r="F298" s="531"/>
      <c r="G298" s="539"/>
      <c r="H298" s="25"/>
      <c r="I298" s="13"/>
      <c r="J298" s="13"/>
      <c r="K298" s="13"/>
      <c r="L298" s="13"/>
      <c r="M298" s="13"/>
      <c r="N298" s="13"/>
    </row>
    <row r="299" spans="1:14" s="107" customFormat="1" ht="13.5" customHeight="1" hidden="1">
      <c r="A299" s="107" t="s">
        <v>150</v>
      </c>
      <c r="B299" s="13" t="s">
        <v>149</v>
      </c>
      <c r="C299" s="821">
        <v>4500</v>
      </c>
      <c r="D299" s="616"/>
      <c r="E299" s="531"/>
      <c r="F299" s="531"/>
      <c r="G299" s="539"/>
      <c r="H299" s="25"/>
      <c r="I299" s="13"/>
      <c r="J299" s="13"/>
      <c r="K299" s="13"/>
      <c r="L299" s="13"/>
      <c r="M299" s="13"/>
      <c r="N299" s="13"/>
    </row>
    <row r="300" spans="1:14" s="107" customFormat="1" ht="13.5" customHeight="1" hidden="1">
      <c r="A300" s="107" t="s">
        <v>53</v>
      </c>
      <c r="B300" s="25" t="s">
        <v>97</v>
      </c>
      <c r="C300" s="821">
        <v>874800</v>
      </c>
      <c r="E300" s="608"/>
      <c r="F300" s="536"/>
      <c r="G300" s="13"/>
      <c r="H300" s="25"/>
      <c r="I300" s="13"/>
      <c r="J300" s="13"/>
      <c r="K300" s="13"/>
      <c r="L300" s="13"/>
      <c r="M300" s="13"/>
      <c r="N300" s="13"/>
    </row>
    <row r="301" spans="1:14" s="107" customFormat="1" ht="13.5" customHeight="1">
      <c r="A301" s="12" t="s">
        <v>123</v>
      </c>
      <c r="B301" s="33" t="s">
        <v>124</v>
      </c>
      <c r="C301" s="33">
        <f>SUM(C302)</f>
        <v>21000</v>
      </c>
      <c r="E301" s="531"/>
      <c r="F301" s="536"/>
      <c r="G301" s="13"/>
      <c r="H301" s="25"/>
      <c r="I301" s="13"/>
      <c r="J301" s="13"/>
      <c r="K301" s="13"/>
      <c r="L301" s="13"/>
      <c r="M301" s="13"/>
      <c r="N301" s="13"/>
    </row>
    <row r="302" spans="1:256" s="107" customFormat="1" ht="13.5" customHeight="1" hidden="1">
      <c r="A302" s="13" t="s">
        <v>184</v>
      </c>
      <c r="B302" s="13" t="s">
        <v>83</v>
      </c>
      <c r="C302" s="821">
        <v>21000</v>
      </c>
      <c r="E302" s="208"/>
      <c r="F302" s="13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8"/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8"/>
      <c r="BD302" s="208"/>
      <c r="BE302" s="208"/>
      <c r="BF302" s="208"/>
      <c r="BG302" s="208"/>
      <c r="BH302" s="208"/>
      <c r="BI302" s="208"/>
      <c r="BJ302" s="208"/>
      <c r="BK302" s="208"/>
      <c r="BL302" s="208"/>
      <c r="BM302" s="208"/>
      <c r="BN302" s="208"/>
      <c r="BO302" s="208"/>
      <c r="BP302" s="208"/>
      <c r="BQ302" s="208"/>
      <c r="BR302" s="208"/>
      <c r="BS302" s="208"/>
      <c r="BT302" s="208"/>
      <c r="BU302" s="208"/>
      <c r="BV302" s="208"/>
      <c r="BW302" s="208"/>
      <c r="BX302" s="208"/>
      <c r="BY302" s="208"/>
      <c r="BZ302" s="208"/>
      <c r="CA302" s="208"/>
      <c r="CB302" s="208"/>
      <c r="CC302" s="208"/>
      <c r="CD302" s="208"/>
      <c r="CE302" s="208"/>
      <c r="CF302" s="208"/>
      <c r="CG302" s="208"/>
      <c r="CH302" s="208"/>
      <c r="CI302" s="208"/>
      <c r="CJ302" s="208"/>
      <c r="CK302" s="208"/>
      <c r="CL302" s="208"/>
      <c r="CM302" s="208"/>
      <c r="CN302" s="208"/>
      <c r="CO302" s="208"/>
      <c r="CP302" s="208"/>
      <c r="CQ302" s="208"/>
      <c r="CR302" s="208"/>
      <c r="CS302" s="208"/>
      <c r="CT302" s="208"/>
      <c r="CU302" s="208"/>
      <c r="CV302" s="208"/>
      <c r="CW302" s="208"/>
      <c r="CX302" s="208"/>
      <c r="CY302" s="208"/>
      <c r="CZ302" s="208"/>
      <c r="DA302" s="208"/>
      <c r="DB302" s="208"/>
      <c r="DC302" s="208"/>
      <c r="DD302" s="208"/>
      <c r="DE302" s="208"/>
      <c r="DF302" s="208"/>
      <c r="DG302" s="208"/>
      <c r="DH302" s="208"/>
      <c r="DI302" s="208"/>
      <c r="DJ302" s="208"/>
      <c r="DK302" s="208"/>
      <c r="DL302" s="208"/>
      <c r="DM302" s="208"/>
      <c r="DN302" s="208"/>
      <c r="DO302" s="208"/>
      <c r="DP302" s="208"/>
      <c r="DQ302" s="208"/>
      <c r="DR302" s="208"/>
      <c r="DS302" s="208"/>
      <c r="DT302" s="208"/>
      <c r="DU302" s="208"/>
      <c r="DV302" s="208"/>
      <c r="DW302" s="208"/>
      <c r="DX302" s="208"/>
      <c r="DY302" s="208"/>
      <c r="DZ302" s="208"/>
      <c r="EA302" s="208"/>
      <c r="EB302" s="208"/>
      <c r="EC302" s="208"/>
      <c r="ED302" s="208"/>
      <c r="EE302" s="208"/>
      <c r="EF302" s="208"/>
      <c r="EG302" s="208"/>
      <c r="EH302" s="208"/>
      <c r="EI302" s="208"/>
      <c r="EJ302" s="208"/>
      <c r="EK302" s="208"/>
      <c r="EL302" s="208"/>
      <c r="EM302" s="208"/>
      <c r="EN302" s="208"/>
      <c r="EO302" s="208"/>
      <c r="EP302" s="208"/>
      <c r="EQ302" s="208"/>
      <c r="ER302" s="208"/>
      <c r="ES302" s="208"/>
      <c r="ET302" s="208"/>
      <c r="EU302" s="208"/>
      <c r="EV302" s="208"/>
      <c r="EW302" s="208"/>
      <c r="EX302" s="208"/>
      <c r="EY302" s="208"/>
      <c r="EZ302" s="208"/>
      <c r="FA302" s="208"/>
      <c r="FB302" s="208"/>
      <c r="FC302" s="208"/>
      <c r="FD302" s="208"/>
      <c r="FE302" s="208"/>
      <c r="FF302" s="208"/>
      <c r="FG302" s="208"/>
      <c r="FH302" s="208"/>
      <c r="FI302" s="208"/>
      <c r="FJ302" s="208"/>
      <c r="FK302" s="208"/>
      <c r="FL302" s="208"/>
      <c r="FM302" s="208"/>
      <c r="FN302" s="208"/>
      <c r="FO302" s="208"/>
      <c r="FP302" s="208"/>
      <c r="FQ302" s="208"/>
      <c r="FR302" s="208"/>
      <c r="FS302" s="208"/>
      <c r="FT302" s="208"/>
      <c r="FU302" s="208"/>
      <c r="FV302" s="208"/>
      <c r="FW302" s="208"/>
      <c r="FX302" s="208"/>
      <c r="FY302" s="208"/>
      <c r="FZ302" s="208"/>
      <c r="GA302" s="208"/>
      <c r="GB302" s="208"/>
      <c r="GC302" s="208"/>
      <c r="GD302" s="208"/>
      <c r="GE302" s="208"/>
      <c r="GF302" s="208"/>
      <c r="GG302" s="208"/>
      <c r="GH302" s="208"/>
      <c r="GI302" s="208"/>
      <c r="GJ302" s="208"/>
      <c r="GK302" s="208"/>
      <c r="GL302" s="208"/>
      <c r="GM302" s="208"/>
      <c r="GN302" s="208"/>
      <c r="GO302" s="208"/>
      <c r="GP302" s="208"/>
      <c r="GQ302" s="208"/>
      <c r="GR302" s="208"/>
      <c r="GS302" s="208"/>
      <c r="GT302" s="208"/>
      <c r="GU302" s="208"/>
      <c r="GV302" s="208"/>
      <c r="GW302" s="208"/>
      <c r="GX302" s="208"/>
      <c r="GY302" s="208"/>
      <c r="GZ302" s="208"/>
      <c r="HA302" s="208"/>
      <c r="HB302" s="208"/>
      <c r="HC302" s="208"/>
      <c r="HD302" s="208"/>
      <c r="HE302" s="208"/>
      <c r="HF302" s="208"/>
      <c r="HG302" s="208"/>
      <c r="HH302" s="208"/>
      <c r="HI302" s="208"/>
      <c r="HJ302" s="208"/>
      <c r="HK302" s="208"/>
      <c r="HL302" s="208"/>
      <c r="HM302" s="208"/>
      <c r="HN302" s="208"/>
      <c r="HO302" s="208"/>
      <c r="HP302" s="208"/>
      <c r="HQ302" s="208"/>
      <c r="HR302" s="208"/>
      <c r="HS302" s="208"/>
      <c r="HT302" s="208"/>
      <c r="HU302" s="208"/>
      <c r="HV302" s="208"/>
      <c r="HW302" s="208"/>
      <c r="HX302" s="208"/>
      <c r="HY302" s="208"/>
      <c r="HZ302" s="208"/>
      <c r="IA302" s="208"/>
      <c r="IB302" s="208"/>
      <c r="IC302" s="208"/>
      <c r="ID302" s="208"/>
      <c r="IE302" s="208"/>
      <c r="IF302" s="208"/>
      <c r="IG302" s="208"/>
      <c r="IH302" s="208"/>
      <c r="II302" s="208"/>
      <c r="IJ302" s="208"/>
      <c r="IK302" s="208"/>
      <c r="IL302" s="208"/>
      <c r="IM302" s="208"/>
      <c r="IN302" s="208"/>
      <c r="IO302" s="208"/>
      <c r="IP302" s="208"/>
      <c r="IQ302" s="208"/>
      <c r="IR302" s="208"/>
      <c r="IS302" s="208"/>
      <c r="IT302" s="208"/>
      <c r="IU302" s="208"/>
      <c r="IV302" s="208"/>
    </row>
    <row r="303" spans="1:14" s="107" customFormat="1" ht="13.5" customHeight="1">
      <c r="A303" s="353" t="s">
        <v>125</v>
      </c>
      <c r="B303" s="33" t="s">
        <v>8</v>
      </c>
      <c r="C303" s="33">
        <f>SUM(C304:C307)</f>
        <v>230880</v>
      </c>
      <c r="E303" s="531"/>
      <c r="F303" s="616"/>
      <c r="G303" s="539"/>
      <c r="H303" s="13"/>
      <c r="I303" s="13"/>
      <c r="J303" s="13"/>
      <c r="K303" s="13"/>
      <c r="L303" s="13"/>
      <c r="M303" s="13"/>
      <c r="N303" s="13"/>
    </row>
    <row r="304" spans="1:14" s="107" customFormat="1" ht="13.5" customHeight="1" hidden="1">
      <c r="A304" s="107" t="s">
        <v>102</v>
      </c>
      <c r="B304" s="25" t="s">
        <v>8</v>
      </c>
      <c r="C304" s="821">
        <f>176280+12000</f>
        <v>188280</v>
      </c>
      <c r="E304" s="25"/>
      <c r="F304" s="575"/>
      <c r="G304" s="539"/>
      <c r="H304" s="13"/>
      <c r="I304" s="13"/>
      <c r="J304" s="13"/>
      <c r="K304" s="13"/>
      <c r="L304" s="13"/>
      <c r="M304" s="13"/>
      <c r="N304" s="13"/>
    </row>
    <row r="305" spans="1:14" s="107" customFormat="1" ht="13.5" customHeight="1" hidden="1">
      <c r="A305" s="107" t="s">
        <v>205</v>
      </c>
      <c r="B305" s="25" t="s">
        <v>54</v>
      </c>
      <c r="C305" s="821">
        <v>4000</v>
      </c>
      <c r="E305" s="531"/>
      <c r="F305" s="616"/>
      <c r="G305" s="539"/>
      <c r="H305" s="13"/>
      <c r="I305" s="13"/>
      <c r="J305" s="13"/>
      <c r="K305" s="13"/>
      <c r="L305" s="13"/>
      <c r="M305" s="13"/>
      <c r="N305" s="13"/>
    </row>
    <row r="306" spans="1:7" s="12" customFormat="1" ht="13.5" customHeight="1" hidden="1">
      <c r="A306" s="107" t="s">
        <v>266</v>
      </c>
      <c r="B306" s="13" t="s">
        <v>265</v>
      </c>
      <c r="C306" s="821">
        <v>18600</v>
      </c>
      <c r="E306" s="531"/>
      <c r="F306" s="548"/>
      <c r="G306" s="539"/>
    </row>
    <row r="307" spans="1:14" s="107" customFormat="1" ht="13.5" customHeight="1" hidden="1">
      <c r="A307" s="107" t="s">
        <v>100</v>
      </c>
      <c r="B307" s="25" t="s">
        <v>7</v>
      </c>
      <c r="C307" s="821">
        <v>20000</v>
      </c>
      <c r="E307" s="531"/>
      <c r="F307" s="616"/>
      <c r="G307" s="539"/>
      <c r="H307" s="13"/>
      <c r="I307" s="13"/>
      <c r="J307" s="25"/>
      <c r="K307" s="13"/>
      <c r="L307" s="13"/>
      <c r="M307" s="13"/>
      <c r="N307" s="13"/>
    </row>
    <row r="308" spans="2:14" s="107" customFormat="1" ht="13.5" customHeight="1" thickBot="1">
      <c r="B308" s="25"/>
      <c r="C308" s="25"/>
      <c r="E308" s="531"/>
      <c r="F308" s="575"/>
      <c r="G308" s="539"/>
      <c r="H308" s="13"/>
      <c r="I308" s="13"/>
      <c r="J308" s="13"/>
      <c r="K308" s="13"/>
      <c r="L308" s="13"/>
      <c r="M308" s="13"/>
      <c r="N308" s="13"/>
    </row>
    <row r="309" spans="1:7" s="208" customFormat="1" ht="13.5" customHeight="1" thickBot="1">
      <c r="A309" s="953" t="s">
        <v>5</v>
      </c>
      <c r="B309" s="954"/>
      <c r="C309" s="37">
        <f>C310</f>
        <v>144000</v>
      </c>
      <c r="E309" s="33"/>
      <c r="F309" s="172"/>
      <c r="G309" s="547"/>
    </row>
    <row r="310" spans="1:7" s="529" customFormat="1" ht="13.5" customHeight="1">
      <c r="A310" s="12" t="s">
        <v>139</v>
      </c>
      <c r="B310" s="404" t="s">
        <v>140</v>
      </c>
      <c r="C310" s="34">
        <f>SUM(C311)</f>
        <v>144000</v>
      </c>
      <c r="E310" s="137"/>
      <c r="F310" s="321"/>
      <c r="G310" s="536"/>
    </row>
    <row r="311" spans="1:7" s="208" customFormat="1" ht="13.5" customHeight="1" hidden="1">
      <c r="A311" s="13" t="s">
        <v>305</v>
      </c>
      <c r="B311" s="107" t="s">
        <v>306</v>
      </c>
      <c r="C311" s="821">
        <v>144000</v>
      </c>
      <c r="E311" s="25"/>
      <c r="F311" s="13"/>
      <c r="G311" s="539"/>
    </row>
    <row r="312" spans="1:7" s="208" customFormat="1" ht="13.5" customHeight="1" thickBot="1">
      <c r="A312" s="13"/>
      <c r="B312" s="13"/>
      <c r="C312" s="24"/>
      <c r="D312" s="137"/>
      <c r="E312" s="25"/>
      <c r="F312" s="306"/>
      <c r="G312" s="539"/>
    </row>
    <row r="313" spans="1:7" ht="13.5" customHeight="1" thickBot="1">
      <c r="A313" s="951" t="s">
        <v>4</v>
      </c>
      <c r="B313" s="952"/>
      <c r="C313" s="32">
        <f>C314+C316</f>
        <v>26900</v>
      </c>
      <c r="D313" s="19"/>
      <c r="F313" s="300"/>
      <c r="G313" s="612"/>
    </row>
    <row r="314" spans="1:7" s="523" customFormat="1" ht="13.5" customHeight="1">
      <c r="A314" s="353" t="s">
        <v>126</v>
      </c>
      <c r="B314" s="404" t="s">
        <v>127</v>
      </c>
      <c r="C314" s="34">
        <f>SUM(C315:C315)</f>
        <v>18900</v>
      </c>
      <c r="D314" s="526"/>
      <c r="E314" s="137"/>
      <c r="G314" s="619"/>
    </row>
    <row r="315" spans="1:14" s="5" customFormat="1" ht="13.5" hidden="1">
      <c r="A315" s="107" t="s">
        <v>182</v>
      </c>
      <c r="B315" s="107" t="s">
        <v>183</v>
      </c>
      <c r="C315" s="821">
        <v>18900</v>
      </c>
      <c r="D315" s="616"/>
      <c r="E315" s="531"/>
      <c r="F315" s="531"/>
      <c r="G315" s="575"/>
      <c r="H315" s="208"/>
      <c r="I315" s="208"/>
      <c r="J315" s="208"/>
      <c r="K315" s="208"/>
      <c r="L315" s="208"/>
      <c r="M315" s="208"/>
      <c r="N315" s="208"/>
    </row>
    <row r="316" spans="1:14" s="5" customFormat="1" ht="13.5">
      <c r="A316" s="353" t="s">
        <v>188</v>
      </c>
      <c r="B316" s="26" t="s">
        <v>145</v>
      </c>
      <c r="C316" s="33">
        <f>SUM(C317)</f>
        <v>8000</v>
      </c>
      <c r="D316" s="531"/>
      <c r="E316" s="531"/>
      <c r="F316" s="531"/>
      <c r="G316" s="575"/>
      <c r="H316" s="208"/>
      <c r="I316" s="208"/>
      <c r="J316" s="208"/>
      <c r="K316" s="208"/>
      <c r="L316" s="208"/>
      <c r="M316" s="208"/>
      <c r="N316" s="208"/>
    </row>
    <row r="317" spans="1:14" s="5" customFormat="1" ht="13.5" hidden="1">
      <c r="A317" s="107" t="s">
        <v>189</v>
      </c>
      <c r="B317" s="24" t="s">
        <v>56</v>
      </c>
      <c r="C317" s="821">
        <v>8000</v>
      </c>
      <c r="D317" s="616"/>
      <c r="E317" s="531"/>
      <c r="F317" s="531"/>
      <c r="G317" s="575"/>
      <c r="H317" s="208"/>
      <c r="I317" s="208"/>
      <c r="J317" s="208"/>
      <c r="K317" s="208"/>
      <c r="L317" s="208"/>
      <c r="M317" s="208"/>
      <c r="N317" s="208"/>
    </row>
    <row r="318" spans="1:7" s="1" customFormat="1" ht="13.5" customHeight="1">
      <c r="A318" s="13"/>
      <c r="B318" s="13"/>
      <c r="C318" s="25"/>
      <c r="D318" s="23"/>
      <c r="E318" s="620"/>
      <c r="F318" s="609"/>
      <c r="G318" s="610"/>
    </row>
    <row r="319" spans="1:7" s="1" customFormat="1" ht="13.5" customHeight="1" thickBot="1">
      <c r="A319" s="13"/>
      <c r="B319" s="13"/>
      <c r="C319" s="25"/>
      <c r="D319" s="572"/>
      <c r="E319" s="571"/>
      <c r="F319" s="609"/>
      <c r="G319" s="610"/>
    </row>
    <row r="320" spans="1:7" s="270" customFormat="1" ht="13.5" customHeight="1">
      <c r="A320" s="64" t="s">
        <v>774</v>
      </c>
      <c r="B320" s="221"/>
      <c r="C320" s="65"/>
      <c r="D320" s="67" t="s">
        <v>6</v>
      </c>
      <c r="E320" s="44">
        <v>1506</v>
      </c>
      <c r="F320" s="600"/>
      <c r="G320" s="587"/>
    </row>
    <row r="321" spans="1:7" s="270" customFormat="1" ht="13.5" customHeight="1" thickBot="1">
      <c r="A321" s="49"/>
      <c r="B321" s="205"/>
      <c r="C321" s="119"/>
      <c r="D321" s="121"/>
      <c r="E321" s="120"/>
      <c r="F321" s="600"/>
      <c r="G321" s="587"/>
    </row>
    <row r="322" spans="1:7" s="1" customFormat="1" ht="13.5" customHeight="1">
      <c r="A322" s="45" t="s">
        <v>775</v>
      </c>
      <c r="B322" s="208"/>
      <c r="C322" s="172"/>
      <c r="D322" s="577"/>
      <c r="E322" s="450"/>
      <c r="F322" s="600"/>
      <c r="G322" s="587"/>
    </row>
    <row r="323" spans="1:7" s="1" customFormat="1" ht="13.5" customHeight="1">
      <c r="A323" s="45" t="s">
        <v>776</v>
      </c>
      <c r="B323" s="208"/>
      <c r="C323" s="172"/>
      <c r="D323" s="577"/>
      <c r="E323" s="450"/>
      <c r="F323" s="600"/>
      <c r="G323" s="587"/>
    </row>
    <row r="324" spans="1:7" s="1" customFormat="1" ht="13.5" customHeight="1">
      <c r="A324" s="45" t="s">
        <v>777</v>
      </c>
      <c r="B324" s="208"/>
      <c r="C324" s="172"/>
      <c r="D324" s="577"/>
      <c r="E324" s="450"/>
      <c r="F324" s="600"/>
      <c r="G324" s="587"/>
    </row>
    <row r="325" spans="1:7" s="1" customFormat="1" ht="13.5" customHeight="1">
      <c r="A325" s="45" t="s">
        <v>778</v>
      </c>
      <c r="B325" s="208"/>
      <c r="C325" s="172"/>
      <c r="D325" s="577"/>
      <c r="E325" s="450"/>
      <c r="F325" s="600"/>
      <c r="G325" s="587"/>
    </row>
    <row r="326" spans="1:7" s="106" customFormat="1" ht="13.5" customHeight="1">
      <c r="A326" s="45" t="s">
        <v>779</v>
      </c>
      <c r="B326" s="13"/>
      <c r="C326" s="25"/>
      <c r="D326" s="23"/>
      <c r="E326" s="453"/>
      <c r="F326" s="538"/>
      <c r="G326" s="539"/>
    </row>
    <row r="327" spans="1:7" s="106" customFormat="1" ht="13.5" customHeight="1">
      <c r="A327" s="45" t="s">
        <v>780</v>
      </c>
      <c r="B327" s="13"/>
      <c r="C327" s="25"/>
      <c r="D327" s="23"/>
      <c r="E327" s="453"/>
      <c r="F327" s="538"/>
      <c r="G327" s="539"/>
    </row>
    <row r="328" spans="1:5" s="208" customFormat="1" ht="13.5" customHeight="1">
      <c r="A328" s="215" t="s">
        <v>781</v>
      </c>
      <c r="C328" s="172"/>
      <c r="D328" s="577"/>
      <c r="E328" s="450"/>
    </row>
    <row r="329" spans="1:5" s="208" customFormat="1" ht="13.5" customHeight="1" thickBot="1">
      <c r="A329" s="45" t="s">
        <v>782</v>
      </c>
      <c r="C329" s="172"/>
      <c r="D329" s="577"/>
      <c r="E329" s="450"/>
    </row>
    <row r="330" spans="1:7" s="510" customFormat="1" ht="13.5" customHeight="1">
      <c r="A330" s="169" t="s">
        <v>1365</v>
      </c>
      <c r="B330" s="245"/>
      <c r="C330" s="601"/>
      <c r="D330" s="602"/>
      <c r="E330" s="603"/>
      <c r="F330" s="609"/>
      <c r="G330" s="610"/>
    </row>
    <row r="331" spans="1:7" s="270" customFormat="1" ht="13.5" customHeight="1">
      <c r="A331" s="52" t="s">
        <v>783</v>
      </c>
      <c r="B331" s="13"/>
      <c r="C331" s="25"/>
      <c r="D331" s="23"/>
      <c r="E331" s="453"/>
      <c r="F331" s="609"/>
      <c r="G331" s="610"/>
    </row>
    <row r="332" spans="1:7" s="13" customFormat="1" ht="13.5" customHeight="1">
      <c r="A332" s="52" t="s">
        <v>1421</v>
      </c>
      <c r="B332" s="52"/>
      <c r="C332" s="25"/>
      <c r="D332" s="23"/>
      <c r="E332" s="453"/>
      <c r="F332" s="306"/>
      <c r="G332" s="539"/>
    </row>
    <row r="333" spans="1:7" s="270" customFormat="1" ht="13.5" customHeight="1" thickBot="1">
      <c r="A333" s="111" t="s">
        <v>11</v>
      </c>
      <c r="B333" s="196"/>
      <c r="C333" s="556"/>
      <c r="D333" s="578"/>
      <c r="E333" s="557"/>
      <c r="F333" s="609"/>
      <c r="G333" s="610"/>
    </row>
    <row r="334" spans="1:7" s="270" customFormat="1" ht="13.5" customHeight="1" thickBot="1">
      <c r="A334" s="54" t="s">
        <v>0</v>
      </c>
      <c r="B334" s="54"/>
      <c r="C334" s="55"/>
      <c r="D334" s="56"/>
      <c r="E334" s="112">
        <f>+C336+C350+C359</f>
        <v>670200</v>
      </c>
      <c r="F334" s="621"/>
      <c r="G334" s="612"/>
    </row>
    <row r="335" spans="1:14" s="232" customFormat="1" ht="13.5" customHeight="1" thickBot="1">
      <c r="A335" s="13"/>
      <c r="B335" s="13"/>
      <c r="C335" s="25"/>
      <c r="D335" s="572"/>
      <c r="F335" s="522"/>
      <c r="G335" s="610"/>
      <c r="H335" s="510"/>
      <c r="I335" s="510"/>
      <c r="J335" s="510"/>
      <c r="K335" s="510"/>
      <c r="L335" s="510"/>
      <c r="M335" s="510"/>
      <c r="N335" s="510"/>
    </row>
    <row r="336" spans="1:7" ht="13.5" customHeight="1" thickBot="1">
      <c r="A336" s="947" t="s">
        <v>2</v>
      </c>
      <c r="B336" s="948"/>
      <c r="C336" s="38">
        <f>C337+C339+C341+C343+C345</f>
        <v>107700</v>
      </c>
      <c r="D336" s="19"/>
      <c r="F336" s="522"/>
      <c r="G336" s="612"/>
    </row>
    <row r="337" spans="1:7" s="523" customFormat="1" ht="13.5" customHeight="1">
      <c r="A337" s="12" t="s">
        <v>113</v>
      </c>
      <c r="B337" s="404" t="s">
        <v>114</v>
      </c>
      <c r="C337" s="34">
        <f>SUM(C338)</f>
        <v>33450</v>
      </c>
      <c r="D337" s="526"/>
      <c r="F337" s="522"/>
      <c r="G337" s="619"/>
    </row>
    <row r="338" spans="1:7" s="13" customFormat="1" ht="13.5" customHeight="1" hidden="1">
      <c r="A338" s="13" t="s">
        <v>50</v>
      </c>
      <c r="B338" s="13" t="s">
        <v>49</v>
      </c>
      <c r="C338" s="821">
        <v>33450</v>
      </c>
      <c r="F338" s="539"/>
      <c r="G338" s="616"/>
    </row>
    <row r="339" spans="1:7" s="13" customFormat="1" ht="13.5" customHeight="1">
      <c r="A339" s="12" t="s">
        <v>223</v>
      </c>
      <c r="B339" s="12" t="s">
        <v>256</v>
      </c>
      <c r="C339" s="33">
        <f>SUM(C340)</f>
        <v>7300</v>
      </c>
      <c r="F339" s="585"/>
      <c r="G339" s="616"/>
    </row>
    <row r="340" spans="1:7" s="13" customFormat="1" ht="13.5" customHeight="1" hidden="1">
      <c r="A340" s="13" t="s">
        <v>271</v>
      </c>
      <c r="B340" s="13" t="s">
        <v>270</v>
      </c>
      <c r="C340" s="821">
        <v>7300</v>
      </c>
      <c r="F340" s="585"/>
      <c r="G340" s="616"/>
    </row>
    <row r="341" spans="1:7" s="13" customFormat="1" ht="13.5" customHeight="1">
      <c r="A341" s="12" t="s">
        <v>115</v>
      </c>
      <c r="B341" s="12" t="s">
        <v>116</v>
      </c>
      <c r="C341" s="33">
        <f>SUM(C342)</f>
        <v>34000</v>
      </c>
      <c r="F341" s="585"/>
      <c r="G341" s="616"/>
    </row>
    <row r="342" spans="1:14" s="3" customFormat="1" ht="13.5" hidden="1">
      <c r="A342" s="13" t="s">
        <v>96</v>
      </c>
      <c r="B342" s="107" t="s">
        <v>71</v>
      </c>
      <c r="C342" s="821">
        <v>34000</v>
      </c>
      <c r="F342" s="539"/>
      <c r="G342" s="616"/>
      <c r="H342" s="1"/>
      <c r="I342" s="1"/>
      <c r="J342" s="1"/>
      <c r="K342" s="1"/>
      <c r="L342" s="1"/>
      <c r="M342" s="1"/>
      <c r="N342" s="1"/>
    </row>
    <row r="343" spans="1:14" s="3" customFormat="1" ht="13.5">
      <c r="A343" s="12" t="s">
        <v>117</v>
      </c>
      <c r="B343" s="353" t="s">
        <v>118</v>
      </c>
      <c r="C343" s="33">
        <f>SUM(C344)</f>
        <v>11050</v>
      </c>
      <c r="F343" s="616"/>
      <c r="G343" s="585"/>
      <c r="H343" s="616"/>
      <c r="I343" s="1"/>
      <c r="J343" s="1"/>
      <c r="K343" s="1"/>
      <c r="L343" s="1"/>
      <c r="M343" s="1"/>
      <c r="N343" s="1"/>
    </row>
    <row r="344" spans="1:14" s="3" customFormat="1" ht="13.5" hidden="1">
      <c r="A344" s="13" t="s">
        <v>51</v>
      </c>
      <c r="B344" s="24" t="s">
        <v>52</v>
      </c>
      <c r="C344" s="821">
        <v>11050</v>
      </c>
      <c r="F344" s="616"/>
      <c r="G344" s="531"/>
      <c r="H344" s="616"/>
      <c r="I344" s="1"/>
      <c r="J344" s="1"/>
      <c r="K344" s="1"/>
      <c r="L344" s="1"/>
      <c r="M344" s="1"/>
      <c r="N344" s="1"/>
    </row>
    <row r="345" spans="1:14" s="3" customFormat="1" ht="13.5">
      <c r="A345" s="353" t="s">
        <v>169</v>
      </c>
      <c r="B345" s="26" t="s">
        <v>135</v>
      </c>
      <c r="C345" s="33">
        <f>SUM(C346:C348)</f>
        <v>21900</v>
      </c>
      <c r="F345" s="616"/>
      <c r="G345" s="531"/>
      <c r="H345" s="616"/>
      <c r="I345" s="1"/>
      <c r="J345" s="1"/>
      <c r="K345" s="1"/>
      <c r="L345" s="1"/>
      <c r="M345" s="1"/>
      <c r="N345" s="1"/>
    </row>
    <row r="346" spans="1:14" s="3" customFormat="1" ht="13.5" hidden="1">
      <c r="A346" s="107" t="s">
        <v>170</v>
      </c>
      <c r="B346" s="25" t="s">
        <v>70</v>
      </c>
      <c r="C346" s="821">
        <v>6550</v>
      </c>
      <c r="F346" s="616"/>
      <c r="G346" s="531"/>
      <c r="H346" s="616"/>
      <c r="I346" s="1"/>
      <c r="J346" s="1"/>
      <c r="K346" s="1"/>
      <c r="L346" s="1"/>
      <c r="M346" s="1"/>
      <c r="N346" s="1"/>
    </row>
    <row r="347" spans="1:14" s="5" customFormat="1" ht="13.5" hidden="1">
      <c r="A347" s="107" t="s">
        <v>171</v>
      </c>
      <c r="B347" s="25" t="s">
        <v>75</v>
      </c>
      <c r="C347" s="821">
        <v>11250</v>
      </c>
      <c r="F347" s="539"/>
      <c r="G347" s="208"/>
      <c r="H347" s="539"/>
      <c r="I347" s="208"/>
      <c r="J347" s="208"/>
      <c r="K347" s="208"/>
      <c r="L347" s="208"/>
      <c r="M347" s="208"/>
      <c r="N347" s="208"/>
    </row>
    <row r="348" spans="1:14" s="3" customFormat="1" ht="13.5" hidden="1">
      <c r="A348" s="107" t="s">
        <v>173</v>
      </c>
      <c r="B348" s="24" t="s">
        <v>135</v>
      </c>
      <c r="C348" s="821">
        <v>4100</v>
      </c>
      <c r="F348" s="616"/>
      <c r="G348" s="531"/>
      <c r="H348" s="616"/>
      <c r="I348" s="1"/>
      <c r="J348" s="1"/>
      <c r="K348" s="1"/>
      <c r="L348" s="1"/>
      <c r="M348" s="1"/>
      <c r="N348" s="1"/>
    </row>
    <row r="349" spans="1:14" s="3" customFormat="1" ht="14.25" thickBot="1">
      <c r="A349" s="107"/>
      <c r="B349" s="24"/>
      <c r="C349" s="25"/>
      <c r="F349" s="616"/>
      <c r="G349" s="531"/>
      <c r="H349" s="616"/>
      <c r="I349" s="1"/>
      <c r="J349" s="1"/>
      <c r="K349" s="1"/>
      <c r="L349" s="1"/>
      <c r="M349" s="1"/>
      <c r="N349" s="1"/>
    </row>
    <row r="350" spans="1:14" s="353" customFormat="1" ht="13.5" customHeight="1" thickBot="1">
      <c r="A350" s="949" t="s">
        <v>3</v>
      </c>
      <c r="B350" s="950"/>
      <c r="C350" s="36">
        <f>C351+C353</f>
        <v>543500</v>
      </c>
      <c r="F350" s="616"/>
      <c r="G350" s="584"/>
      <c r="H350" s="935"/>
      <c r="I350" s="12"/>
      <c r="J350" s="12"/>
      <c r="K350" s="12"/>
      <c r="L350" s="12"/>
      <c r="M350" s="12"/>
      <c r="N350" s="12"/>
    </row>
    <row r="351" spans="1:8" s="142" customFormat="1" ht="13.5" customHeight="1">
      <c r="A351" s="353" t="s">
        <v>120</v>
      </c>
      <c r="B351" s="404" t="s">
        <v>121</v>
      </c>
      <c r="C351" s="34">
        <f>SUM(C352:C352)</f>
        <v>15000</v>
      </c>
      <c r="F351" s="617"/>
      <c r="G351" s="535"/>
      <c r="H351" s="535"/>
    </row>
    <row r="352" spans="1:14" s="107" customFormat="1" ht="13.5" customHeight="1" hidden="1">
      <c r="A352" s="107" t="s">
        <v>57</v>
      </c>
      <c r="B352" s="25" t="s">
        <v>18</v>
      </c>
      <c r="C352" s="821">
        <v>15000</v>
      </c>
      <c r="F352" s="616"/>
      <c r="G352" s="531"/>
      <c r="H352" s="531"/>
      <c r="I352" s="13"/>
      <c r="J352" s="13"/>
      <c r="K352" s="13"/>
      <c r="L352" s="13"/>
      <c r="M352" s="13"/>
      <c r="N352" s="13"/>
    </row>
    <row r="353" spans="1:14" s="107" customFormat="1" ht="13.5" customHeight="1">
      <c r="A353" s="353" t="s">
        <v>125</v>
      </c>
      <c r="B353" s="33" t="s">
        <v>8</v>
      </c>
      <c r="C353" s="33">
        <f>SUM(C354:C357)</f>
        <v>528500</v>
      </c>
      <c r="F353" s="522"/>
      <c r="G353" s="531"/>
      <c r="H353" s="616"/>
      <c r="I353" s="13"/>
      <c r="J353" s="13"/>
      <c r="K353" s="13"/>
      <c r="L353" s="13"/>
      <c r="M353" s="13"/>
      <c r="N353" s="13"/>
    </row>
    <row r="354" spans="1:14" s="107" customFormat="1" ht="13.5" customHeight="1" hidden="1">
      <c r="A354" s="107" t="s">
        <v>205</v>
      </c>
      <c r="B354" s="25" t="s">
        <v>54</v>
      </c>
      <c r="C354" s="821">
        <v>3500</v>
      </c>
      <c r="F354" s="616"/>
      <c r="G354" s="531"/>
      <c r="H354" s="531"/>
      <c r="I354" s="13"/>
      <c r="J354" s="13"/>
      <c r="K354" s="13"/>
      <c r="L354" s="13"/>
      <c r="M354" s="13"/>
      <c r="N354" s="13"/>
    </row>
    <row r="355" spans="1:14" s="107" customFormat="1" ht="13.5" customHeight="1" hidden="1">
      <c r="A355" s="107" t="s">
        <v>268</v>
      </c>
      <c r="B355" s="107" t="s">
        <v>267</v>
      </c>
      <c r="C355" s="821">
        <v>105000</v>
      </c>
      <c r="F355" s="539"/>
      <c r="G355" s="531"/>
      <c r="H355" s="531"/>
      <c r="I355" s="13"/>
      <c r="J355" s="13"/>
      <c r="K355" s="13"/>
      <c r="L355" s="13"/>
      <c r="M355" s="13"/>
      <c r="N355" s="13"/>
    </row>
    <row r="356" spans="1:8" s="12" customFormat="1" ht="13.5" customHeight="1" hidden="1">
      <c r="A356" s="107" t="s">
        <v>266</v>
      </c>
      <c r="B356" s="13" t="s">
        <v>265</v>
      </c>
      <c r="C356" s="821">
        <v>367500</v>
      </c>
      <c r="F356" s="539"/>
      <c r="G356" s="531"/>
      <c r="H356" s="531"/>
    </row>
    <row r="357" spans="1:14" s="107" customFormat="1" ht="13.5" customHeight="1" hidden="1">
      <c r="A357" s="107" t="s">
        <v>100</v>
      </c>
      <c r="B357" s="25" t="s">
        <v>7</v>
      </c>
      <c r="C357" s="821">
        <v>52500</v>
      </c>
      <c r="F357" s="522"/>
      <c r="G357" s="531"/>
      <c r="H357" s="536"/>
      <c r="I357" s="13"/>
      <c r="J357" s="25"/>
      <c r="K357" s="13"/>
      <c r="L357" s="13"/>
      <c r="M357" s="13"/>
      <c r="N357" s="13"/>
    </row>
    <row r="358" spans="2:14" s="107" customFormat="1" ht="13.5" customHeight="1" thickBot="1">
      <c r="B358" s="25"/>
      <c r="C358" s="25"/>
      <c r="D358" s="536"/>
      <c r="F358" s="936"/>
      <c r="G358" s="25"/>
      <c r="H358" s="13"/>
      <c r="I358" s="13"/>
      <c r="J358" s="13"/>
      <c r="K358" s="13"/>
      <c r="L358" s="13"/>
      <c r="M358" s="13"/>
      <c r="N358" s="13"/>
    </row>
    <row r="359" spans="1:14" s="353" customFormat="1" ht="13.5" customHeight="1" thickBot="1">
      <c r="A359" s="951" t="s">
        <v>4</v>
      </c>
      <c r="B359" s="952"/>
      <c r="C359" s="32">
        <f>C360+C362</f>
        <v>19000</v>
      </c>
      <c r="E359" s="622"/>
      <c r="F359" s="596"/>
      <c r="G359" s="25"/>
      <c r="H359" s="12"/>
      <c r="I359" s="12"/>
      <c r="J359" s="12"/>
      <c r="K359" s="12"/>
      <c r="L359" s="12"/>
      <c r="M359" s="12"/>
      <c r="N359" s="12"/>
    </row>
    <row r="360" spans="1:7" s="142" customFormat="1" ht="13.5" customHeight="1">
      <c r="A360" s="353" t="s">
        <v>126</v>
      </c>
      <c r="B360" s="404" t="s">
        <v>127</v>
      </c>
      <c r="C360" s="34">
        <f>SUM(C361)</f>
        <v>12000</v>
      </c>
      <c r="E360" s="585"/>
      <c r="F360" s="537"/>
      <c r="G360" s="137"/>
    </row>
    <row r="361" spans="1:14" s="5" customFormat="1" ht="13.5" hidden="1">
      <c r="A361" s="107" t="s">
        <v>101</v>
      </c>
      <c r="B361" s="107" t="s">
        <v>152</v>
      </c>
      <c r="C361" s="821">
        <v>12000</v>
      </c>
      <c r="D361" s="531"/>
      <c r="E361" s="531"/>
      <c r="F361" s="617"/>
      <c r="G361" s="575"/>
      <c r="H361" s="208"/>
      <c r="I361" s="208"/>
      <c r="J361" s="208"/>
      <c r="K361" s="208"/>
      <c r="L361" s="208"/>
      <c r="M361" s="208"/>
      <c r="N361" s="208"/>
    </row>
    <row r="362" spans="1:14" s="5" customFormat="1" ht="13.5">
      <c r="A362" s="353" t="s">
        <v>188</v>
      </c>
      <c r="B362" s="26" t="s">
        <v>145</v>
      </c>
      <c r="C362" s="33">
        <f>SUM(C363)</f>
        <v>7000</v>
      </c>
      <c r="D362" s="531"/>
      <c r="E362" s="531"/>
      <c r="F362" s="617"/>
      <c r="G362" s="575"/>
      <c r="H362" s="208"/>
      <c r="I362" s="208"/>
      <c r="J362" s="208"/>
      <c r="K362" s="208"/>
      <c r="L362" s="208"/>
      <c r="M362" s="208"/>
      <c r="N362" s="208"/>
    </row>
    <row r="363" spans="1:14" s="5" customFormat="1" ht="13.5" hidden="1">
      <c r="A363" s="107" t="s">
        <v>189</v>
      </c>
      <c r="B363" s="24" t="s">
        <v>56</v>
      </c>
      <c r="C363" s="821">
        <v>7000</v>
      </c>
      <c r="D363" s="531"/>
      <c r="E363" s="531"/>
      <c r="F363" s="616"/>
      <c r="G363" s="575"/>
      <c r="H363" s="208"/>
      <c r="I363" s="208"/>
      <c r="J363" s="208"/>
      <c r="K363" s="208"/>
      <c r="L363" s="208"/>
      <c r="M363" s="208"/>
      <c r="N363" s="208"/>
    </row>
    <row r="364" spans="1:7" s="106" customFormat="1" ht="13.5" customHeight="1">
      <c r="A364" s="107"/>
      <c r="B364" s="107"/>
      <c r="C364" s="24"/>
      <c r="D364" s="27"/>
      <c r="E364" s="29"/>
      <c r="F364" s="609"/>
      <c r="G364" s="610"/>
    </row>
    <row r="365" spans="1:7" s="106" customFormat="1" ht="13.5" customHeight="1">
      <c r="A365" s="107"/>
      <c r="B365" s="107"/>
      <c r="C365" s="24"/>
      <c r="D365" s="23"/>
      <c r="E365" s="25"/>
      <c r="F365" s="538"/>
      <c r="G365" s="539"/>
    </row>
  </sheetData>
  <sheetProtection/>
  <mergeCells count="22">
    <mergeCell ref="A20:B20"/>
    <mergeCell ref="A43:B43"/>
    <mergeCell ref="A58:B58"/>
    <mergeCell ref="A72:B72"/>
    <mergeCell ref="A77:B77"/>
    <mergeCell ref="A105:B105"/>
    <mergeCell ref="A116:B116"/>
    <mergeCell ref="A127:B127"/>
    <mergeCell ref="A133:B133"/>
    <mergeCell ref="A158:B158"/>
    <mergeCell ref="A177:B177"/>
    <mergeCell ref="A195:B195"/>
    <mergeCell ref="A313:B313"/>
    <mergeCell ref="A336:B336"/>
    <mergeCell ref="A350:B350"/>
    <mergeCell ref="A359:B359"/>
    <mergeCell ref="A218:B218"/>
    <mergeCell ref="A236:B236"/>
    <mergeCell ref="A249:B249"/>
    <mergeCell ref="A274:B274"/>
    <mergeCell ref="A293:B293"/>
    <mergeCell ref="A309:B309"/>
  </mergeCells>
  <printOptions/>
  <pageMargins left="0.7874015748031497" right="0.1968503937007874" top="0.7874015748031497" bottom="0.7874015748031497" header="0.3937007874015748" footer="0.1968503937007874"/>
  <pageSetup horizontalDpi="720" verticalDpi="720" orientation="portrait" paperSize="9" r:id="rId1"/>
  <headerFooter>
    <oddHeader>&amp;L&amp;"Arial Narrow,Normal"&amp;8Presupuesto Municipal 2016
&amp;R&amp;"Arial Narrow,Normal"&amp;8MUNICIPALIDAD DE VILLA MARÍA
Secretaría de Economía y Administración</oddHeader>
    <oddFooter>&amp;C&amp;"Arial Narrow,Normal"&amp;8Secretaría de Desarrollo Social
Página &amp;P de &amp;N</oddFooter>
  </headerFooter>
  <rowBreaks count="3" manualBreakCount="3">
    <brk id="86" max="255" man="1"/>
    <brk id="255" max="255" man="1"/>
    <brk id="31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44"/>
  <sheetViews>
    <sheetView workbookViewId="0" topLeftCell="A269">
      <selection activeCell="G344" sqref="G344"/>
    </sheetView>
  </sheetViews>
  <sheetFormatPr defaultColWidth="11.421875" defaultRowHeight="12.75"/>
  <cols>
    <col min="1" max="1" width="9.7109375" style="0" customWidth="1"/>
    <col min="2" max="2" width="46.7109375" style="0" customWidth="1"/>
    <col min="3" max="3" width="12.7109375" style="0" customWidth="1"/>
    <col min="4" max="4" width="10.7109375" style="0" customWidth="1"/>
    <col min="5" max="5" width="13.7109375" style="0" customWidth="1"/>
    <col min="6" max="6" width="14.140625" style="255" bestFit="1" customWidth="1"/>
    <col min="7" max="13" width="11.421875" style="255" customWidth="1"/>
  </cols>
  <sheetData>
    <row r="1" spans="1:5" ht="13.5">
      <c r="A1" s="262" t="s">
        <v>784</v>
      </c>
      <c r="B1" s="262"/>
      <c r="C1" s="263"/>
      <c r="D1" s="264"/>
      <c r="E1" s="265"/>
    </row>
    <row r="2" spans="1:5" ht="13.5">
      <c r="A2" s="265"/>
      <c r="B2" s="265"/>
      <c r="C2" s="263"/>
      <c r="D2" s="264"/>
      <c r="E2" s="265"/>
    </row>
    <row r="3" spans="1:5" ht="14.25" thickBot="1">
      <c r="A3" s="13"/>
      <c r="B3" s="13"/>
      <c r="C3" s="199"/>
      <c r="D3" s="106"/>
      <c r="E3" s="270"/>
    </row>
    <row r="4" spans="1:5" ht="12.75">
      <c r="A4" s="64" t="s">
        <v>1156</v>
      </c>
      <c r="B4" s="221"/>
      <c r="C4" s="220"/>
      <c r="D4" s="219" t="s">
        <v>6</v>
      </c>
      <c r="E4" s="218">
        <v>1601</v>
      </c>
    </row>
    <row r="5" spans="1:5" ht="13.5" thickBot="1">
      <c r="A5" s="45" t="s">
        <v>542</v>
      </c>
      <c r="B5" s="208" t="s">
        <v>785</v>
      </c>
      <c r="C5" s="207"/>
      <c r="D5" s="293"/>
      <c r="E5" s="294"/>
    </row>
    <row r="6" spans="1:5" ht="12.75">
      <c r="A6" s="64" t="s">
        <v>786</v>
      </c>
      <c r="B6" s="221"/>
      <c r="C6" s="220"/>
      <c r="D6" s="221"/>
      <c r="E6" s="273"/>
    </row>
    <row r="7" spans="1:5" ht="12.75">
      <c r="A7" s="45" t="s">
        <v>787</v>
      </c>
      <c r="B7" s="208"/>
      <c r="C7" s="207"/>
      <c r="D7" s="208"/>
      <c r="E7" s="212"/>
    </row>
    <row r="8" spans="1:5" ht="12.75">
      <c r="A8" s="45" t="s">
        <v>788</v>
      </c>
      <c r="B8" s="208"/>
      <c r="C8" s="207"/>
      <c r="D8" s="208"/>
      <c r="E8" s="212"/>
    </row>
    <row r="9" spans="1:5" ht="12.75">
      <c r="A9" s="45" t="s">
        <v>789</v>
      </c>
      <c r="B9" s="208"/>
      <c r="C9" s="207"/>
      <c r="D9" s="208"/>
      <c r="E9" s="212"/>
    </row>
    <row r="10" spans="1:5" ht="12.75">
      <c r="A10" s="425" t="s">
        <v>790</v>
      </c>
      <c r="B10" s="208"/>
      <c r="C10" s="207"/>
      <c r="D10" s="208"/>
      <c r="E10" s="212"/>
    </row>
    <row r="11" spans="1:5" ht="12.75">
      <c r="A11" s="45" t="s">
        <v>791</v>
      </c>
      <c r="B11" s="208"/>
      <c r="C11" s="207"/>
      <c r="D11" s="208"/>
      <c r="E11" s="212"/>
    </row>
    <row r="12" spans="1:5" ht="13.5" thickBot="1">
      <c r="A12" s="49" t="s">
        <v>792</v>
      </c>
      <c r="B12" s="205"/>
      <c r="C12" s="204"/>
      <c r="D12" s="205"/>
      <c r="E12" s="230"/>
    </row>
    <row r="13" spans="1:5" ht="13.5">
      <c r="A13" s="52" t="s">
        <v>1365</v>
      </c>
      <c r="B13" s="13"/>
      <c r="C13" s="199"/>
      <c r="D13" s="106"/>
      <c r="E13" s="197"/>
    </row>
    <row r="14" spans="1:5" ht="13.5">
      <c r="A14" s="52" t="s">
        <v>793</v>
      </c>
      <c r="B14" s="13"/>
      <c r="C14" s="199"/>
      <c r="D14" s="106"/>
      <c r="E14" s="197"/>
    </row>
    <row r="15" spans="1:5" ht="13.5">
      <c r="A15" s="52" t="s">
        <v>1421</v>
      </c>
      <c r="B15" s="13"/>
      <c r="C15" s="199"/>
      <c r="D15" s="106"/>
      <c r="E15" s="197"/>
    </row>
    <row r="16" spans="1:5" ht="14.25" thickBot="1">
      <c r="A16" s="52" t="s">
        <v>11</v>
      </c>
      <c r="B16" s="13"/>
      <c r="C16" s="199"/>
      <c r="D16" s="106"/>
      <c r="E16" s="197"/>
    </row>
    <row r="17" spans="1:6" ht="14.25" thickBot="1">
      <c r="A17" s="54" t="s">
        <v>257</v>
      </c>
      <c r="B17" s="192"/>
      <c r="C17" s="274"/>
      <c r="D17" s="275"/>
      <c r="E17" s="276">
        <f>C19+C42+C62+C80+C84</f>
        <v>43728665</v>
      </c>
      <c r="F17" s="937"/>
    </row>
    <row r="18" spans="1:5" ht="14.25" thickBot="1">
      <c r="A18" s="12"/>
      <c r="B18" s="12"/>
      <c r="C18" s="199"/>
      <c r="D18" s="106"/>
      <c r="E18" s="522"/>
    </row>
    <row r="19" spans="1:5" ht="14.25" thickBot="1">
      <c r="A19" s="945" t="s">
        <v>1</v>
      </c>
      <c r="B19" s="946"/>
      <c r="C19" s="40">
        <f>C20+C27+C34</f>
        <v>40608685</v>
      </c>
      <c r="D19" s="106"/>
      <c r="E19" s="522"/>
    </row>
    <row r="20" spans="1:5" ht="13.5">
      <c r="A20" s="12" t="s">
        <v>107</v>
      </c>
      <c r="B20" s="404" t="s">
        <v>108</v>
      </c>
      <c r="C20" s="33">
        <f>SUM(C21:C26)</f>
        <v>17457343</v>
      </c>
      <c r="D20" s="23"/>
      <c r="E20" s="524"/>
    </row>
    <row r="21" spans="1:5" ht="13.5" hidden="1">
      <c r="A21" s="13" t="s">
        <v>27</v>
      </c>
      <c r="B21" s="25" t="s">
        <v>24</v>
      </c>
      <c r="C21" s="821">
        <v>13145922</v>
      </c>
      <c r="D21" s="23"/>
      <c r="E21" s="26"/>
    </row>
    <row r="22" spans="1:5" ht="13.5" hidden="1">
      <c r="A22" s="13" t="s">
        <v>28</v>
      </c>
      <c r="B22" s="25" t="s">
        <v>26</v>
      </c>
      <c r="C22" s="821">
        <f>2555156+574910</f>
        <v>3130066</v>
      </c>
      <c r="D22" s="23"/>
      <c r="E22" s="26"/>
    </row>
    <row r="23" spans="1:5" ht="13.5" hidden="1">
      <c r="A23" s="13" t="s">
        <v>29</v>
      </c>
      <c r="B23" s="25" t="s">
        <v>86</v>
      </c>
      <c r="C23" s="821">
        <f>25000+547762+16777</f>
        <v>589539</v>
      </c>
      <c r="D23" s="23"/>
      <c r="E23" s="26"/>
    </row>
    <row r="24" spans="1:5" ht="13.5" hidden="1">
      <c r="A24" s="13" t="s">
        <v>30</v>
      </c>
      <c r="B24" s="25" t="s">
        <v>87</v>
      </c>
      <c r="C24" s="821">
        <f>55254</f>
        <v>55254</v>
      </c>
      <c r="D24" s="23"/>
      <c r="E24" s="26"/>
    </row>
    <row r="25" spans="1:5" ht="13.5" hidden="1">
      <c r="A25" s="13" t="s">
        <v>31</v>
      </c>
      <c r="B25" s="25" t="s">
        <v>25</v>
      </c>
      <c r="C25" s="821">
        <f>21000+122232</f>
        <v>143232</v>
      </c>
      <c r="D25" s="23"/>
      <c r="E25" s="26"/>
    </row>
    <row r="26" spans="1:5" ht="13.5" hidden="1">
      <c r="A26" s="13" t="s">
        <v>32</v>
      </c>
      <c r="B26" s="25" t="s">
        <v>23</v>
      </c>
      <c r="C26" s="821">
        <f>83124.56+91680.28+80220.22+79546.29+58758.52+0.13</f>
        <v>393330</v>
      </c>
      <c r="D26" s="23"/>
      <c r="E26" s="26"/>
    </row>
    <row r="27" spans="1:5" ht="13.5">
      <c r="A27" s="12" t="s">
        <v>109</v>
      </c>
      <c r="B27" s="33" t="s">
        <v>110</v>
      </c>
      <c r="C27" s="33">
        <f>SUM(C28:C33)</f>
        <v>4669952</v>
      </c>
      <c r="D27" s="23"/>
      <c r="E27" s="26"/>
    </row>
    <row r="28" spans="1:5" ht="13.5" hidden="1">
      <c r="A28" s="13" t="s">
        <v>34</v>
      </c>
      <c r="B28" s="25" t="s">
        <v>88</v>
      </c>
      <c r="C28" s="821">
        <v>3612729</v>
      </c>
      <c r="D28" s="23"/>
      <c r="E28" s="26"/>
    </row>
    <row r="29" spans="1:5" ht="13.5" hidden="1">
      <c r="A29" s="13" t="s">
        <v>35</v>
      </c>
      <c r="B29" s="25" t="s">
        <v>89</v>
      </c>
      <c r="C29" s="821">
        <f>721090+162245</f>
        <v>883335</v>
      </c>
      <c r="D29" s="23"/>
      <c r="E29" s="26"/>
    </row>
    <row r="30" spans="1:5" ht="13.5" hidden="1">
      <c r="A30" s="13" t="s">
        <v>36</v>
      </c>
      <c r="B30" s="25" t="s">
        <v>90</v>
      </c>
      <c r="C30" s="821">
        <f>150454+3300</f>
        <v>153754</v>
      </c>
      <c r="D30" s="23"/>
      <c r="E30" s="26"/>
    </row>
    <row r="31" spans="1:5" ht="13.5" hidden="1">
      <c r="A31" s="13" t="s">
        <v>37</v>
      </c>
      <c r="B31" s="25" t="s">
        <v>91</v>
      </c>
      <c r="C31" s="821">
        <v>1</v>
      </c>
      <c r="D31" s="23"/>
      <c r="E31" s="26"/>
    </row>
    <row r="32" spans="1:5" ht="13.5" hidden="1">
      <c r="A32" s="13" t="s">
        <v>38</v>
      </c>
      <c r="B32" s="25" t="s">
        <v>370</v>
      </c>
      <c r="C32" s="821">
        <f>700+19432</f>
        <v>20132</v>
      </c>
      <c r="D32" s="23"/>
      <c r="E32" s="26"/>
    </row>
    <row r="33" spans="1:5" ht="13.5" hidden="1">
      <c r="A33" s="13" t="s">
        <v>93</v>
      </c>
      <c r="B33" s="25" t="s">
        <v>92</v>
      </c>
      <c r="C33" s="821">
        <v>1</v>
      </c>
      <c r="D33" s="23"/>
      <c r="E33" s="26"/>
    </row>
    <row r="34" spans="1:5" ht="13.5">
      <c r="A34" s="12" t="s">
        <v>111</v>
      </c>
      <c r="B34" s="33" t="s">
        <v>112</v>
      </c>
      <c r="C34" s="33">
        <f>SUM(C35:C40)</f>
        <v>18481390</v>
      </c>
      <c r="D34" s="23"/>
      <c r="E34" s="26"/>
    </row>
    <row r="35" spans="1:5" ht="13.5" hidden="1">
      <c r="A35" s="13" t="s">
        <v>43</v>
      </c>
      <c r="B35" s="25" t="s">
        <v>39</v>
      </c>
      <c r="C35" s="821">
        <f>13149899+979478</f>
        <v>14129377</v>
      </c>
      <c r="D35" s="23"/>
      <c r="E35" s="26"/>
    </row>
    <row r="36" spans="1:5" ht="13.5" hidden="1">
      <c r="A36" s="13" t="s">
        <v>44</v>
      </c>
      <c r="B36" s="25" t="s">
        <v>41</v>
      </c>
      <c r="C36" s="821">
        <f>2535968+568878+248887+107335</f>
        <v>3461068</v>
      </c>
      <c r="D36" s="23"/>
      <c r="E36" s="26"/>
    </row>
    <row r="37" spans="1:5" ht="13.5" hidden="1">
      <c r="A37" s="13" t="s">
        <v>45</v>
      </c>
      <c r="B37" s="25" t="s">
        <v>94</v>
      </c>
      <c r="C37" s="821">
        <f>548286+23929</f>
        <v>572215</v>
      </c>
      <c r="D37" s="23"/>
      <c r="E37" s="26"/>
    </row>
    <row r="38" spans="1:5" ht="13.5" hidden="1">
      <c r="A38" s="13" t="s">
        <v>46</v>
      </c>
      <c r="B38" s="25" t="s">
        <v>95</v>
      </c>
      <c r="C38" s="821">
        <v>1</v>
      </c>
      <c r="D38" s="23"/>
      <c r="E38" s="26"/>
    </row>
    <row r="39" spans="1:5" ht="13.5" hidden="1">
      <c r="A39" s="13" t="s">
        <v>47</v>
      </c>
      <c r="B39" s="25" t="s">
        <v>40</v>
      </c>
      <c r="C39" s="821">
        <f>25900+292828</f>
        <v>318728</v>
      </c>
      <c r="D39" s="23"/>
      <c r="E39" s="26"/>
    </row>
    <row r="40" spans="1:5" ht="13.5" hidden="1">
      <c r="A40" s="13" t="s">
        <v>48</v>
      </c>
      <c r="B40" s="25" t="s">
        <v>42</v>
      </c>
      <c r="C40" s="821">
        <v>1</v>
      </c>
      <c r="D40" s="23"/>
      <c r="E40" s="26"/>
    </row>
    <row r="41" spans="1:5" ht="14.25" thickBot="1">
      <c r="A41" s="13"/>
      <c r="B41" s="13"/>
      <c r="C41" s="25"/>
      <c r="D41" s="25"/>
      <c r="E41" s="106"/>
    </row>
    <row r="42" spans="1:5" ht="14.25" thickBot="1">
      <c r="A42" s="947" t="s">
        <v>2</v>
      </c>
      <c r="B42" s="948"/>
      <c r="C42" s="38">
        <f>C43+C45+C48+C50+C52+C54+C56</f>
        <v>216930</v>
      </c>
      <c r="D42" s="282"/>
      <c r="E42" s="107"/>
    </row>
    <row r="43" spans="1:8" ht="13.5">
      <c r="A43" s="12" t="s">
        <v>113</v>
      </c>
      <c r="B43" s="404" t="s">
        <v>114</v>
      </c>
      <c r="C43" s="34">
        <f>SUM(C44)</f>
        <v>30100</v>
      </c>
      <c r="D43" s="283"/>
      <c r="E43" s="142"/>
      <c r="H43" s="137"/>
    </row>
    <row r="44" spans="1:5" ht="13.5" hidden="1">
      <c r="A44" s="13" t="s">
        <v>50</v>
      </c>
      <c r="B44" s="107" t="s">
        <v>49</v>
      </c>
      <c r="C44" s="821">
        <f>40100-10000</f>
        <v>30100</v>
      </c>
      <c r="E44" s="33"/>
    </row>
    <row r="45" spans="1:5" ht="13.5">
      <c r="A45" s="12" t="s">
        <v>115</v>
      </c>
      <c r="B45" s="353" t="s">
        <v>116</v>
      </c>
      <c r="C45" s="33">
        <f>SUM(C46:C47)</f>
        <v>46000</v>
      </c>
      <c r="D45" s="23"/>
      <c r="E45" s="33"/>
    </row>
    <row r="46" spans="1:5" ht="13.5" hidden="1">
      <c r="A46" s="13" t="s">
        <v>72</v>
      </c>
      <c r="B46" s="107" t="s">
        <v>73</v>
      </c>
      <c r="C46" s="821">
        <v>9950</v>
      </c>
      <c r="D46" s="137"/>
      <c r="E46" s="33"/>
    </row>
    <row r="47" spans="1:5" ht="13.5" hidden="1">
      <c r="A47" s="13" t="s">
        <v>96</v>
      </c>
      <c r="B47" s="107" t="s">
        <v>71</v>
      </c>
      <c r="C47" s="821">
        <f>46050-10000</f>
        <v>36050</v>
      </c>
      <c r="D47" s="23"/>
      <c r="E47" s="33"/>
    </row>
    <row r="48" spans="1:5" ht="13.5">
      <c r="A48" s="12" t="s">
        <v>117</v>
      </c>
      <c r="B48" s="353" t="s">
        <v>118</v>
      </c>
      <c r="C48" s="33">
        <f>SUM(C49)</f>
        <v>31850</v>
      </c>
      <c r="D48" s="23"/>
      <c r="E48" s="33"/>
    </row>
    <row r="49" spans="1:5" ht="13.5" hidden="1">
      <c r="A49" s="13" t="s">
        <v>51</v>
      </c>
      <c r="B49" s="24" t="s">
        <v>52</v>
      </c>
      <c r="C49" s="821">
        <f>41850-10000</f>
        <v>31850</v>
      </c>
      <c r="D49" s="115"/>
      <c r="E49" s="26"/>
    </row>
    <row r="50" spans="1:5" ht="13.5">
      <c r="A50" s="12" t="s">
        <v>219</v>
      </c>
      <c r="B50" s="26" t="s">
        <v>218</v>
      </c>
      <c r="C50" s="26">
        <f>SUM(C51)</f>
        <v>32200</v>
      </c>
      <c r="D50" s="24"/>
      <c r="E50" s="24"/>
    </row>
    <row r="51" spans="1:5" ht="13.5" hidden="1">
      <c r="A51" s="13" t="s">
        <v>217</v>
      </c>
      <c r="B51" s="107" t="s">
        <v>252</v>
      </c>
      <c r="C51" s="821">
        <v>32200</v>
      </c>
      <c r="D51" s="24"/>
      <c r="E51" s="24"/>
    </row>
    <row r="52" spans="1:5" ht="13.5">
      <c r="A52" s="353" t="s">
        <v>129</v>
      </c>
      <c r="B52" s="26" t="s">
        <v>119</v>
      </c>
      <c r="C52" s="26">
        <f>SUM(C53)</f>
        <v>5760</v>
      </c>
      <c r="D52" s="115"/>
      <c r="E52" s="26"/>
    </row>
    <row r="53" spans="1:5" ht="13.5" hidden="1">
      <c r="A53" s="107" t="s">
        <v>168</v>
      </c>
      <c r="B53" s="24" t="s">
        <v>74</v>
      </c>
      <c r="C53" s="821">
        <v>5760</v>
      </c>
      <c r="D53" s="22"/>
      <c r="E53" s="22"/>
    </row>
    <row r="54" spans="1:5" ht="13.5">
      <c r="A54" s="353" t="s">
        <v>134</v>
      </c>
      <c r="B54" s="353" t="s">
        <v>133</v>
      </c>
      <c r="C54" s="26">
        <f>SUM(C55)</f>
        <v>15500</v>
      </c>
      <c r="D54" s="24"/>
      <c r="E54" s="24"/>
    </row>
    <row r="55" spans="1:8" ht="13.5" hidden="1">
      <c r="A55" s="107" t="s">
        <v>103</v>
      </c>
      <c r="B55" s="24" t="s">
        <v>78</v>
      </c>
      <c r="C55" s="821">
        <v>15500</v>
      </c>
      <c r="D55" s="24"/>
      <c r="H55" s="33"/>
    </row>
    <row r="56" spans="1:5" ht="13.5">
      <c r="A56" s="353" t="s">
        <v>169</v>
      </c>
      <c r="B56" s="26" t="s">
        <v>144</v>
      </c>
      <c r="C56" s="26">
        <f>SUM(C57:C60)</f>
        <v>55520</v>
      </c>
      <c r="D56" s="22"/>
      <c r="E56" s="22"/>
    </row>
    <row r="57" spans="1:5" ht="13.5" hidden="1">
      <c r="A57" s="107" t="s">
        <v>170</v>
      </c>
      <c r="B57" s="24" t="s">
        <v>70</v>
      </c>
      <c r="C57" s="821">
        <v>8100</v>
      </c>
      <c r="D57" s="116"/>
      <c r="E57" s="26"/>
    </row>
    <row r="58" spans="1:5" ht="13.5" hidden="1">
      <c r="A58" s="107" t="s">
        <v>247</v>
      </c>
      <c r="B58" s="24" t="s">
        <v>246</v>
      </c>
      <c r="C58" s="821">
        <v>18720</v>
      </c>
      <c r="D58" s="116"/>
      <c r="E58" s="26"/>
    </row>
    <row r="59" spans="1:5" ht="13.5" hidden="1">
      <c r="A59" s="107" t="s">
        <v>171</v>
      </c>
      <c r="B59" s="24" t="s">
        <v>75</v>
      </c>
      <c r="C59" s="821">
        <v>14500</v>
      </c>
      <c r="D59" s="115"/>
      <c r="E59" s="26"/>
    </row>
    <row r="60" spans="1:5" ht="13.5" hidden="1">
      <c r="A60" s="107" t="s">
        <v>173</v>
      </c>
      <c r="B60" s="24" t="s">
        <v>144</v>
      </c>
      <c r="C60" s="821">
        <v>14200</v>
      </c>
      <c r="D60" s="115"/>
      <c r="E60" s="26"/>
    </row>
    <row r="61" spans="1:5" ht="14.25" thickBot="1">
      <c r="A61" s="107"/>
      <c r="B61" s="208"/>
      <c r="C61" s="24"/>
      <c r="D61" s="184"/>
      <c r="E61" s="107"/>
    </row>
    <row r="62" spans="1:5" ht="14.25" thickBot="1">
      <c r="A62" s="949" t="s">
        <v>3</v>
      </c>
      <c r="B62" s="950"/>
      <c r="C62" s="36">
        <f>C63+C65+C67+C70+C72+C74</f>
        <v>1610900</v>
      </c>
      <c r="D62" s="107"/>
      <c r="E62" s="107"/>
    </row>
    <row r="63" spans="1:5" ht="13.5">
      <c r="A63" s="12" t="s">
        <v>120</v>
      </c>
      <c r="B63" s="404" t="s">
        <v>121</v>
      </c>
      <c r="C63" s="34">
        <f>SUM(C64:C64)</f>
        <v>11300</v>
      </c>
      <c r="D63" s="137"/>
      <c r="E63" s="137"/>
    </row>
    <row r="64" spans="1:5" ht="13.5" hidden="1">
      <c r="A64" s="13" t="s">
        <v>57</v>
      </c>
      <c r="B64" s="13" t="s">
        <v>18</v>
      </c>
      <c r="C64" s="821">
        <v>11300</v>
      </c>
      <c r="D64" s="24" t="s">
        <v>1401</v>
      </c>
      <c r="E64" s="24"/>
    </row>
    <row r="65" spans="1:5" ht="13.5">
      <c r="A65" s="12" t="s">
        <v>130</v>
      </c>
      <c r="B65" s="12" t="s">
        <v>131</v>
      </c>
      <c r="C65" s="33">
        <f>SUM(C66)</f>
        <v>36550</v>
      </c>
      <c r="D65" s="116"/>
      <c r="E65" s="26"/>
    </row>
    <row r="66" spans="1:5" ht="13.5" hidden="1">
      <c r="A66" s="13" t="s">
        <v>148</v>
      </c>
      <c r="B66" s="13" t="s">
        <v>77</v>
      </c>
      <c r="C66" s="821">
        <v>36550</v>
      </c>
      <c r="D66" s="115"/>
      <c r="E66" s="26" t="s">
        <v>1184</v>
      </c>
    </row>
    <row r="67" spans="1:5" ht="13.5">
      <c r="A67" s="12" t="s">
        <v>122</v>
      </c>
      <c r="B67" s="12" t="s">
        <v>175</v>
      </c>
      <c r="C67" s="33">
        <f>SUM(C68:C69)</f>
        <v>177950</v>
      </c>
      <c r="D67" s="116"/>
      <c r="E67" s="26"/>
    </row>
    <row r="68" spans="1:5" ht="13.5" hidden="1">
      <c r="A68" s="13" t="s">
        <v>150</v>
      </c>
      <c r="B68" s="13" t="s">
        <v>149</v>
      </c>
      <c r="C68" s="821">
        <v>5950</v>
      </c>
      <c r="D68" s="33"/>
      <c r="E68" s="172"/>
    </row>
    <row r="69" spans="1:5" ht="13.5" hidden="1">
      <c r="A69" s="13" t="s">
        <v>53</v>
      </c>
      <c r="B69" s="25" t="s">
        <v>97</v>
      </c>
      <c r="C69" s="821">
        <f>122000+50000</f>
        <v>172000</v>
      </c>
      <c r="D69" s="25" t="s">
        <v>1176</v>
      </c>
      <c r="E69" s="25"/>
    </row>
    <row r="70" spans="1:4" ht="13.5">
      <c r="A70" s="12" t="s">
        <v>123</v>
      </c>
      <c r="B70" s="33" t="s">
        <v>124</v>
      </c>
      <c r="C70" s="33">
        <f>SUM(C71)</f>
        <v>10500</v>
      </c>
      <c r="D70" s="25"/>
    </row>
    <row r="71" spans="1:5" ht="13.5" hidden="1">
      <c r="A71" s="13" t="s">
        <v>98</v>
      </c>
      <c r="B71" s="25" t="s">
        <v>69</v>
      </c>
      <c r="C71" s="821">
        <v>10500</v>
      </c>
      <c r="D71" s="13"/>
      <c r="E71" s="172"/>
    </row>
    <row r="72" spans="1:5" ht="13.5">
      <c r="A72" s="12" t="s">
        <v>143</v>
      </c>
      <c r="B72" s="33" t="s">
        <v>61</v>
      </c>
      <c r="C72" s="33">
        <f>SUM(C73)</f>
        <v>21500</v>
      </c>
      <c r="D72" s="25"/>
      <c r="E72" s="172"/>
    </row>
    <row r="73" spans="1:5" ht="13.5" hidden="1">
      <c r="A73" s="13" t="s">
        <v>60</v>
      </c>
      <c r="B73" s="13" t="s">
        <v>61</v>
      </c>
      <c r="C73" s="821">
        <v>21500</v>
      </c>
      <c r="D73" s="25"/>
      <c r="E73" s="172"/>
    </row>
    <row r="74" spans="1:5" ht="13.5">
      <c r="A74" s="12" t="s">
        <v>125</v>
      </c>
      <c r="B74" s="33" t="s">
        <v>8</v>
      </c>
      <c r="C74" s="33">
        <f>SUM(C75:C78)</f>
        <v>1353100</v>
      </c>
      <c r="D74" s="25"/>
      <c r="E74" s="172"/>
    </row>
    <row r="75" spans="1:5" ht="13.5" hidden="1">
      <c r="A75" s="13" t="s">
        <v>102</v>
      </c>
      <c r="B75" s="25" t="s">
        <v>8</v>
      </c>
      <c r="C75" s="821">
        <f>88200+5000</f>
        <v>93200</v>
      </c>
      <c r="D75" s="535" t="s">
        <v>1399</v>
      </c>
      <c r="E75" s="208"/>
    </row>
    <row r="76" spans="1:5" ht="13.5" hidden="1">
      <c r="A76" s="13" t="s">
        <v>205</v>
      </c>
      <c r="B76" s="25" t="s">
        <v>54</v>
      </c>
      <c r="C76" s="821">
        <v>20500</v>
      </c>
      <c r="D76" s="33"/>
      <c r="E76" s="172"/>
    </row>
    <row r="77" spans="1:7" ht="13.5" hidden="1">
      <c r="A77" s="13" t="s">
        <v>242</v>
      </c>
      <c r="B77" s="25" t="s">
        <v>794</v>
      </c>
      <c r="C77" s="821">
        <f>91200*12</f>
        <v>1094400</v>
      </c>
      <c r="D77" s="172" t="s">
        <v>795</v>
      </c>
      <c r="E77" s="208"/>
      <c r="G77" s="260"/>
    </row>
    <row r="78" spans="1:5" ht="13.5" hidden="1">
      <c r="A78" s="13" t="s">
        <v>100</v>
      </c>
      <c r="B78" s="25" t="s">
        <v>7</v>
      </c>
      <c r="C78" s="821">
        <v>145000</v>
      </c>
      <c r="D78" s="24" t="s">
        <v>796</v>
      </c>
      <c r="E78" s="46"/>
    </row>
    <row r="79" spans="1:5" ht="14.25" thickBot="1">
      <c r="A79" s="107"/>
      <c r="B79" s="107"/>
      <c r="C79" s="24"/>
      <c r="D79" s="12"/>
      <c r="E79" s="25"/>
    </row>
    <row r="80" spans="1:5" ht="14.25" thickBot="1">
      <c r="A80" s="953" t="s">
        <v>5</v>
      </c>
      <c r="B80" s="954"/>
      <c r="C80" s="37">
        <f>+C81</f>
        <v>70000</v>
      </c>
      <c r="D80" s="13"/>
      <c r="E80" s="13"/>
    </row>
    <row r="81" spans="1:5" ht="13.5">
      <c r="A81" s="353" t="s">
        <v>139</v>
      </c>
      <c r="B81" s="353" t="s">
        <v>140</v>
      </c>
      <c r="C81" s="33">
        <f>SUM(C82)</f>
        <v>70000</v>
      </c>
      <c r="D81" s="116"/>
      <c r="E81" s="26"/>
    </row>
    <row r="82" spans="1:5" ht="13.5" hidden="1">
      <c r="A82" s="107" t="s">
        <v>157</v>
      </c>
      <c r="B82" s="25" t="s">
        <v>12</v>
      </c>
      <c r="C82" s="821">
        <v>70000</v>
      </c>
      <c r="D82" s="115"/>
      <c r="E82" s="26"/>
    </row>
    <row r="83" spans="1:5" ht="14.25" thickBot="1">
      <c r="A83" s="13"/>
      <c r="B83" s="13"/>
      <c r="C83" s="25"/>
      <c r="D83" s="13"/>
      <c r="E83" s="13"/>
    </row>
    <row r="84" spans="1:5" ht="14.25" thickBot="1">
      <c r="A84" s="951" t="s">
        <v>4</v>
      </c>
      <c r="B84" s="952"/>
      <c r="C84" s="32">
        <f>C85+C87+C89+C91+C93</f>
        <v>1222150</v>
      </c>
      <c r="D84" s="25"/>
      <c r="E84" s="623"/>
    </row>
    <row r="85" spans="1:5" ht="13.5">
      <c r="A85" s="353" t="s">
        <v>201</v>
      </c>
      <c r="B85" s="404" t="s">
        <v>200</v>
      </c>
      <c r="C85" s="34">
        <f>SUM(C86:C86)</f>
        <v>900000</v>
      </c>
      <c r="D85" s="116"/>
      <c r="E85" s="26"/>
    </row>
    <row r="86" spans="1:5" ht="13.5" hidden="1">
      <c r="A86" s="13" t="s">
        <v>199</v>
      </c>
      <c r="B86" s="13" t="s">
        <v>198</v>
      </c>
      <c r="C86" s="821">
        <v>900000</v>
      </c>
      <c r="D86" s="137"/>
      <c r="E86" s="137"/>
    </row>
    <row r="87" spans="1:5" ht="13.5">
      <c r="A87" s="12" t="s">
        <v>193</v>
      </c>
      <c r="B87" s="404" t="s">
        <v>192</v>
      </c>
      <c r="C87" s="34">
        <f>SUM(C88)</f>
        <v>260000</v>
      </c>
      <c r="D87" s="178"/>
      <c r="E87" s="178"/>
    </row>
    <row r="88" spans="1:5" ht="13.5" hidden="1">
      <c r="A88" s="13" t="s">
        <v>191</v>
      </c>
      <c r="B88" s="13" t="s">
        <v>190</v>
      </c>
      <c r="C88" s="821">
        <v>260000</v>
      </c>
      <c r="D88" s="137"/>
      <c r="E88" s="137"/>
    </row>
    <row r="89" spans="1:5" ht="13.5">
      <c r="A89" s="12" t="s">
        <v>126</v>
      </c>
      <c r="B89" s="404" t="s">
        <v>127</v>
      </c>
      <c r="C89" s="34">
        <f>SUM(C90)</f>
        <v>25750</v>
      </c>
      <c r="D89" s="137"/>
      <c r="E89" s="624"/>
    </row>
    <row r="90" spans="1:5" ht="13.5" hidden="1">
      <c r="A90" s="13" t="s">
        <v>101</v>
      </c>
      <c r="B90" s="25" t="s">
        <v>9</v>
      </c>
      <c r="C90" s="821">
        <v>25750</v>
      </c>
      <c r="D90" s="23"/>
      <c r="E90" s="33"/>
    </row>
    <row r="91" spans="1:5" ht="13.5">
      <c r="A91" s="353" t="s">
        <v>142</v>
      </c>
      <c r="B91" s="26" t="s">
        <v>371</v>
      </c>
      <c r="C91" s="26">
        <f>SUM(C92)</f>
        <v>23400</v>
      </c>
      <c r="D91" s="115"/>
      <c r="E91" s="26"/>
    </row>
    <row r="92" spans="1:5" ht="13.5" hidden="1">
      <c r="A92" s="107" t="s">
        <v>275</v>
      </c>
      <c r="B92" s="24" t="s">
        <v>371</v>
      </c>
      <c r="C92" s="821">
        <v>23400</v>
      </c>
      <c r="D92" s="115"/>
      <c r="E92" s="26"/>
    </row>
    <row r="93" spans="1:5" ht="13.5">
      <c r="A93" s="353" t="s">
        <v>188</v>
      </c>
      <c r="B93" s="26" t="s">
        <v>146</v>
      </c>
      <c r="C93" s="26">
        <f>SUM(C94)</f>
        <v>13000</v>
      </c>
      <c r="D93" s="115"/>
      <c r="E93" s="26"/>
    </row>
    <row r="94" spans="1:5" ht="13.5" hidden="1">
      <c r="A94" s="107" t="s">
        <v>189</v>
      </c>
      <c r="B94" s="24" t="s">
        <v>56</v>
      </c>
      <c r="C94" s="821">
        <v>13000</v>
      </c>
      <c r="D94" s="115"/>
      <c r="E94" s="26"/>
    </row>
    <row r="95" spans="1:5" ht="13.5">
      <c r="A95" s="107"/>
      <c r="B95" s="107"/>
      <c r="C95" s="24"/>
      <c r="D95" s="107"/>
      <c r="E95" s="107"/>
    </row>
    <row r="96" spans="1:5" ht="14.25" thickBot="1">
      <c r="A96" s="190"/>
      <c r="B96" s="190"/>
      <c r="C96" s="249"/>
      <c r="D96" s="189"/>
      <c r="E96" s="11"/>
    </row>
    <row r="97" spans="1:5" ht="12.75">
      <c r="A97" s="64" t="s">
        <v>797</v>
      </c>
      <c r="B97" s="221"/>
      <c r="C97" s="220"/>
      <c r="D97" s="219" t="s">
        <v>6</v>
      </c>
      <c r="E97" s="218">
        <v>1602</v>
      </c>
    </row>
    <row r="98" spans="1:5" ht="13.5" thickBot="1">
      <c r="A98" s="49"/>
      <c r="B98" s="205"/>
      <c r="C98" s="204"/>
      <c r="D98" s="217"/>
      <c r="E98" s="216"/>
    </row>
    <row r="99" spans="1:5" ht="12.75">
      <c r="A99" s="64" t="s">
        <v>798</v>
      </c>
      <c r="B99" s="221"/>
      <c r="C99" s="220"/>
      <c r="D99" s="221"/>
      <c r="E99" s="273"/>
    </row>
    <row r="100" spans="1:5" ht="12.75">
      <c r="A100" s="45" t="s">
        <v>799</v>
      </c>
      <c r="B100" s="208"/>
      <c r="C100" s="207"/>
      <c r="D100" s="208"/>
      <c r="E100" s="212"/>
    </row>
    <row r="101" spans="1:5" ht="12.75">
      <c r="A101" s="45" t="s">
        <v>800</v>
      </c>
      <c r="B101" s="208"/>
      <c r="C101" s="207"/>
      <c r="D101" s="208"/>
      <c r="E101" s="212"/>
    </row>
    <row r="102" spans="1:5" ht="13.5" thickBot="1">
      <c r="A102" s="49" t="s">
        <v>801</v>
      </c>
      <c r="B102" s="205"/>
      <c r="C102" s="204"/>
      <c r="D102" s="205"/>
      <c r="E102" s="230"/>
    </row>
    <row r="103" spans="1:5" ht="13.5">
      <c r="A103" s="52" t="s">
        <v>1365</v>
      </c>
      <c r="B103" s="13"/>
      <c r="C103" s="199"/>
      <c r="D103" s="106"/>
      <c r="E103" s="197"/>
    </row>
    <row r="104" spans="1:5" ht="13.5">
      <c r="A104" s="52" t="s">
        <v>802</v>
      </c>
      <c r="B104" s="13"/>
      <c r="C104" s="199"/>
      <c r="D104" s="106"/>
      <c r="E104" s="197"/>
    </row>
    <row r="105" spans="1:5" ht="13.5">
      <c r="A105" s="52" t="s">
        <v>1421</v>
      </c>
      <c r="B105" s="13"/>
      <c r="C105" s="199"/>
      <c r="D105" s="106"/>
      <c r="E105" s="197"/>
    </row>
    <row r="106" spans="1:5" ht="14.25" thickBot="1">
      <c r="A106" s="111" t="s">
        <v>11</v>
      </c>
      <c r="B106" s="196"/>
      <c r="C106" s="195"/>
      <c r="D106" s="625"/>
      <c r="E106" s="193"/>
    </row>
    <row r="107" spans="1:6" ht="14.25" thickBot="1">
      <c r="A107" s="54" t="s">
        <v>0</v>
      </c>
      <c r="B107" s="192"/>
      <c r="C107" s="55"/>
      <c r="D107" s="191"/>
      <c r="E107" s="161">
        <f>+C109+C137+C156</f>
        <v>18086751</v>
      </c>
      <c r="F107" s="938"/>
    </row>
    <row r="108" spans="1:5" ht="14.25" thickBot="1">
      <c r="A108" s="13"/>
      <c r="B108" s="13"/>
      <c r="C108" s="25"/>
      <c r="D108" s="25"/>
      <c r="E108" s="25"/>
    </row>
    <row r="109" spans="1:5" ht="14.25" thickBot="1">
      <c r="A109" s="947" t="s">
        <v>2</v>
      </c>
      <c r="B109" s="948"/>
      <c r="C109" s="38">
        <f>C110+C112+C115+C119+C121+C124+C128+C133</f>
        <v>3441680</v>
      </c>
      <c r="D109" s="24"/>
      <c r="E109" s="151"/>
    </row>
    <row r="110" spans="1:5" ht="13.5">
      <c r="A110" s="12" t="s">
        <v>113</v>
      </c>
      <c r="B110" s="404" t="s">
        <v>114</v>
      </c>
      <c r="C110" s="34">
        <f>SUM(C111)</f>
        <v>55900</v>
      </c>
      <c r="D110" s="283"/>
      <c r="E110" s="142"/>
    </row>
    <row r="111" spans="1:5" ht="13.5" hidden="1">
      <c r="A111" s="13" t="s">
        <v>50</v>
      </c>
      <c r="B111" s="107" t="s">
        <v>49</v>
      </c>
      <c r="C111" s="821">
        <v>55900</v>
      </c>
      <c r="D111" s="137"/>
      <c r="E111" s="33"/>
    </row>
    <row r="112" spans="1:5" ht="13.5">
      <c r="A112" s="12" t="s">
        <v>223</v>
      </c>
      <c r="B112" s="353" t="s">
        <v>256</v>
      </c>
      <c r="C112" s="26">
        <f>SUM(C113:C114)</f>
        <v>128600</v>
      </c>
      <c r="D112" s="24"/>
      <c r="E112" s="24"/>
    </row>
    <row r="113" spans="1:5" ht="13.5" hidden="1">
      <c r="A113" s="13" t="s">
        <v>221</v>
      </c>
      <c r="B113" s="13" t="s">
        <v>748</v>
      </c>
      <c r="C113" s="821">
        <v>56200</v>
      </c>
      <c r="D113" s="115"/>
      <c r="E113" s="26"/>
    </row>
    <row r="114" spans="1:5" ht="13.5" hidden="1">
      <c r="A114" s="13" t="s">
        <v>255</v>
      </c>
      <c r="B114" s="13" t="s">
        <v>254</v>
      </c>
      <c r="C114" s="821">
        <v>72400</v>
      </c>
      <c r="D114" s="115"/>
      <c r="E114" s="26"/>
    </row>
    <row r="115" spans="1:5" ht="13.5">
      <c r="A115" s="12" t="s">
        <v>115</v>
      </c>
      <c r="B115" s="353" t="s">
        <v>116</v>
      </c>
      <c r="C115" s="34">
        <f>SUM(C116:C118)</f>
        <v>492200</v>
      </c>
      <c r="D115" s="137"/>
      <c r="E115" s="186"/>
    </row>
    <row r="116" spans="1:5" ht="13.5" hidden="1">
      <c r="A116" s="13" t="s">
        <v>72</v>
      </c>
      <c r="B116" s="107" t="s">
        <v>73</v>
      </c>
      <c r="C116" s="821">
        <v>9950</v>
      </c>
      <c r="D116" s="137"/>
      <c r="E116" s="33"/>
    </row>
    <row r="117" spans="1:6" ht="13.5" hidden="1">
      <c r="A117" s="13" t="s">
        <v>96</v>
      </c>
      <c r="B117" s="13" t="s">
        <v>71</v>
      </c>
      <c r="C117" s="821">
        <f>222000+58600+19500</f>
        <v>300100</v>
      </c>
      <c r="D117" s="24" t="s">
        <v>1400</v>
      </c>
      <c r="E117" s="24"/>
      <c r="F117" s="761"/>
    </row>
    <row r="118" spans="1:6" ht="13.5" hidden="1">
      <c r="A118" s="13" t="s">
        <v>1186</v>
      </c>
      <c r="B118" s="57" t="s">
        <v>1185</v>
      </c>
      <c r="C118" s="821">
        <v>182150</v>
      </c>
      <c r="D118" s="24"/>
      <c r="E118" s="24"/>
      <c r="F118" s="761"/>
    </row>
    <row r="119" spans="1:5" ht="13.5">
      <c r="A119" s="12" t="s">
        <v>117</v>
      </c>
      <c r="B119" s="353" t="s">
        <v>118</v>
      </c>
      <c r="C119" s="34">
        <f>SUM(C120)</f>
        <v>27000</v>
      </c>
      <c r="D119" s="137"/>
      <c r="E119" s="186"/>
    </row>
    <row r="120" spans="1:5" ht="13.5" hidden="1">
      <c r="A120" s="13" t="s">
        <v>51</v>
      </c>
      <c r="B120" s="24" t="s">
        <v>52</v>
      </c>
      <c r="C120" s="821">
        <v>27000</v>
      </c>
      <c r="D120" s="24"/>
      <c r="E120" s="24"/>
    </row>
    <row r="121" spans="1:5" ht="13.5">
      <c r="A121" s="12" t="s">
        <v>219</v>
      </c>
      <c r="B121" s="26" t="s">
        <v>218</v>
      </c>
      <c r="C121" s="26">
        <f>SUM(C122:C123)</f>
        <v>1365670</v>
      </c>
      <c r="D121" s="24"/>
      <c r="E121" s="24"/>
    </row>
    <row r="122" spans="1:5" ht="13.5" hidden="1">
      <c r="A122" s="13" t="s">
        <v>217</v>
      </c>
      <c r="B122" s="107" t="s">
        <v>252</v>
      </c>
      <c r="C122" s="821">
        <f>1100170</f>
        <v>1100170</v>
      </c>
      <c r="D122" s="24"/>
      <c r="E122" s="24"/>
    </row>
    <row r="123" spans="1:5" ht="13.5" hidden="1">
      <c r="A123" s="13" t="s">
        <v>251</v>
      </c>
      <c r="B123" s="13" t="s">
        <v>250</v>
      </c>
      <c r="C123" s="821">
        <f>515500-250000</f>
        <v>265500</v>
      </c>
      <c r="D123" s="137" t="s">
        <v>1192</v>
      </c>
      <c r="E123" s="25"/>
    </row>
    <row r="124" spans="1:5" ht="13.5">
      <c r="A124" s="353" t="s">
        <v>129</v>
      </c>
      <c r="B124" s="26" t="s">
        <v>119</v>
      </c>
      <c r="C124" s="26">
        <f>SUM(C125:C127)</f>
        <v>313210</v>
      </c>
      <c r="D124" s="24"/>
      <c r="E124" s="24"/>
    </row>
    <row r="125" spans="1:5" ht="13.5" hidden="1">
      <c r="A125" s="107" t="s">
        <v>214</v>
      </c>
      <c r="B125" s="24" t="s">
        <v>213</v>
      </c>
      <c r="C125" s="821">
        <v>103900</v>
      </c>
      <c r="D125" s="24"/>
      <c r="E125" s="24"/>
    </row>
    <row r="126" spans="1:5" ht="13.5" hidden="1">
      <c r="A126" s="107" t="s">
        <v>212</v>
      </c>
      <c r="B126" s="24" t="s">
        <v>211</v>
      </c>
      <c r="C126" s="821">
        <v>191550</v>
      </c>
      <c r="D126" s="24"/>
      <c r="E126" s="24"/>
    </row>
    <row r="127" spans="1:5" ht="13.5" hidden="1">
      <c r="A127" s="107" t="s">
        <v>210</v>
      </c>
      <c r="B127" s="24" t="s">
        <v>388</v>
      </c>
      <c r="C127" s="821">
        <v>17760</v>
      </c>
      <c r="D127" s="24"/>
      <c r="E127" s="24"/>
    </row>
    <row r="128" spans="1:5" ht="13.5">
      <c r="A128" s="353" t="s">
        <v>134</v>
      </c>
      <c r="B128" s="353" t="s">
        <v>133</v>
      </c>
      <c r="C128" s="26">
        <f>SUM(C129:C132)</f>
        <v>707400</v>
      </c>
      <c r="D128" s="24"/>
      <c r="E128" s="24"/>
    </row>
    <row r="129" spans="1:5" ht="13.5" hidden="1">
      <c r="A129" s="13" t="s">
        <v>389</v>
      </c>
      <c r="B129" s="25" t="s">
        <v>390</v>
      </c>
      <c r="C129" s="821">
        <f>214500-100000</f>
        <v>114500</v>
      </c>
      <c r="D129" s="24"/>
      <c r="E129" s="24"/>
    </row>
    <row r="130" spans="1:5" s="255" customFormat="1" ht="13.5" hidden="1">
      <c r="A130" s="13" t="s">
        <v>323</v>
      </c>
      <c r="B130" s="25" t="s">
        <v>324</v>
      </c>
      <c r="C130" s="821">
        <v>127900</v>
      </c>
      <c r="D130" s="25"/>
      <c r="E130" s="25"/>
    </row>
    <row r="131" spans="1:5" ht="13.5" hidden="1">
      <c r="A131" s="13" t="s">
        <v>103</v>
      </c>
      <c r="B131" s="25" t="s">
        <v>78</v>
      </c>
      <c r="C131" s="821">
        <v>110000</v>
      </c>
      <c r="D131" s="25" t="s">
        <v>803</v>
      </c>
      <c r="E131" s="25"/>
    </row>
    <row r="132" spans="1:5" ht="13.5" hidden="1">
      <c r="A132" s="13" t="s">
        <v>1187</v>
      </c>
      <c r="B132" s="57" t="s">
        <v>1188</v>
      </c>
      <c r="C132" s="821">
        <v>355000</v>
      </c>
      <c r="D132" s="25"/>
      <c r="E132" s="25"/>
    </row>
    <row r="133" spans="1:5" ht="13.5">
      <c r="A133" s="353" t="s">
        <v>169</v>
      </c>
      <c r="B133" s="26" t="s">
        <v>144</v>
      </c>
      <c r="C133" s="26">
        <f>SUM(C134:C135)</f>
        <v>351700</v>
      </c>
      <c r="D133" s="24"/>
      <c r="E133" s="24"/>
    </row>
    <row r="134" spans="1:5" ht="13.5" hidden="1">
      <c r="A134" s="107" t="s">
        <v>247</v>
      </c>
      <c r="B134" s="24" t="s">
        <v>246</v>
      </c>
      <c r="C134" s="821">
        <v>291800</v>
      </c>
      <c r="D134" s="116"/>
      <c r="E134" s="26"/>
    </row>
    <row r="135" spans="1:5" s="255" customFormat="1" ht="13.5" hidden="1">
      <c r="A135" s="13" t="s">
        <v>172</v>
      </c>
      <c r="B135" s="25" t="s">
        <v>135</v>
      </c>
      <c r="C135" s="821">
        <v>59900</v>
      </c>
      <c r="D135" s="25"/>
      <c r="E135" s="25"/>
    </row>
    <row r="136" spans="1:5" s="255" customFormat="1" ht="14.25" thickBot="1">
      <c r="A136" s="13"/>
      <c r="B136" s="25"/>
      <c r="C136" s="25"/>
      <c r="D136" s="25"/>
      <c r="E136" s="25"/>
    </row>
    <row r="137" spans="1:5" ht="14.25" thickBot="1">
      <c r="A137" s="949" t="s">
        <v>3</v>
      </c>
      <c r="B137" s="950"/>
      <c r="C137" s="36">
        <f>C138+C141+C145+C148+C150</f>
        <v>12219195</v>
      </c>
      <c r="D137" s="24"/>
      <c r="E137" s="24"/>
    </row>
    <row r="138" spans="1:5" ht="13.5">
      <c r="A138" s="12" t="s">
        <v>120</v>
      </c>
      <c r="B138" s="404" t="s">
        <v>121</v>
      </c>
      <c r="C138" s="34">
        <f>SUM(C139:C140)</f>
        <v>653250</v>
      </c>
      <c r="D138" s="137"/>
      <c r="E138" s="137"/>
    </row>
    <row r="139" spans="1:5" ht="13.5" hidden="1">
      <c r="A139" s="13" t="s">
        <v>179</v>
      </c>
      <c r="B139" s="142" t="s">
        <v>357</v>
      </c>
      <c r="C139" s="824">
        <f>36000*6+45375*6</f>
        <v>488250</v>
      </c>
      <c r="D139" s="24" t="s">
        <v>1404</v>
      </c>
      <c r="E139" s="137"/>
    </row>
    <row r="140" spans="1:5" ht="13.5" hidden="1">
      <c r="A140" s="13" t="s">
        <v>57</v>
      </c>
      <c r="B140" s="13" t="s">
        <v>18</v>
      </c>
      <c r="C140" s="821">
        <v>165000</v>
      </c>
      <c r="D140" s="24" t="s">
        <v>1189</v>
      </c>
      <c r="E140" s="24"/>
    </row>
    <row r="141" spans="1:5" ht="13.5">
      <c r="A141" s="12" t="s">
        <v>130</v>
      </c>
      <c r="B141" s="12" t="s">
        <v>131</v>
      </c>
      <c r="C141" s="26">
        <f>SUM(C142:C144)</f>
        <v>276050</v>
      </c>
      <c r="D141" s="24"/>
      <c r="E141" s="24"/>
    </row>
    <row r="142" spans="1:5" ht="13.5" hidden="1">
      <c r="A142" s="13" t="s">
        <v>207</v>
      </c>
      <c r="B142" s="13" t="s">
        <v>206</v>
      </c>
      <c r="C142" s="821">
        <v>211600</v>
      </c>
      <c r="D142" s="25"/>
      <c r="E142" s="172"/>
    </row>
    <row r="143" spans="1:13" s="182" customFormat="1" ht="13.5" customHeight="1" hidden="1">
      <c r="A143" s="13" t="s">
        <v>245</v>
      </c>
      <c r="B143" s="13" t="s">
        <v>244</v>
      </c>
      <c r="C143" s="836">
        <v>12550</v>
      </c>
      <c r="D143" s="399"/>
      <c r="E143" s="411"/>
      <c r="F143" s="12"/>
      <c r="G143" s="176"/>
      <c r="H143" s="176"/>
      <c r="I143" s="451"/>
      <c r="J143" s="176"/>
      <c r="K143" s="176"/>
      <c r="L143" s="176"/>
      <c r="M143" s="176"/>
    </row>
    <row r="144" spans="1:5" ht="13.5" hidden="1">
      <c r="A144" s="13" t="s">
        <v>148</v>
      </c>
      <c r="B144" s="13" t="s">
        <v>77</v>
      </c>
      <c r="C144" s="821">
        <f>81900-30000</f>
        <v>51900</v>
      </c>
      <c r="D144" s="115"/>
      <c r="E144" s="26"/>
    </row>
    <row r="145" spans="1:5" ht="13.5">
      <c r="A145" s="12" t="s">
        <v>122</v>
      </c>
      <c r="B145" s="12" t="s">
        <v>175</v>
      </c>
      <c r="C145" s="33">
        <f>SUM(C146:C147)</f>
        <v>322700</v>
      </c>
      <c r="D145" s="115"/>
      <c r="E145" s="26"/>
    </row>
    <row r="146" spans="1:5" ht="13.5" hidden="1">
      <c r="A146" s="13" t="s">
        <v>150</v>
      </c>
      <c r="B146" s="13" t="s">
        <v>149</v>
      </c>
      <c r="C146" s="821">
        <v>18400</v>
      </c>
      <c r="D146" s="222"/>
      <c r="E146" s="762"/>
    </row>
    <row r="147" spans="1:5" ht="13.5" hidden="1">
      <c r="A147" s="13" t="s">
        <v>174</v>
      </c>
      <c r="B147" s="25" t="s">
        <v>97</v>
      </c>
      <c r="C147" s="821">
        <f>354300-50000</f>
        <v>304300</v>
      </c>
      <c r="D147" s="762" t="s">
        <v>1405</v>
      </c>
      <c r="E147" s="23"/>
    </row>
    <row r="148" spans="1:5" ht="13.5">
      <c r="A148" s="12" t="s">
        <v>123</v>
      </c>
      <c r="B148" s="33" t="s">
        <v>124</v>
      </c>
      <c r="C148" s="33">
        <f>SUM(C149)</f>
        <v>10800</v>
      </c>
      <c r="D148" s="762"/>
      <c r="E148" s="762"/>
    </row>
    <row r="149" spans="1:5" ht="13.5" hidden="1">
      <c r="A149" s="13" t="s">
        <v>98</v>
      </c>
      <c r="B149" s="25" t="s">
        <v>69</v>
      </c>
      <c r="C149" s="821">
        <v>10800</v>
      </c>
      <c r="D149" s="763"/>
      <c r="E149" s="762"/>
    </row>
    <row r="150" spans="1:9" ht="16.5">
      <c r="A150" s="12" t="s">
        <v>125</v>
      </c>
      <c r="B150" s="33" t="s">
        <v>8</v>
      </c>
      <c r="C150" s="33">
        <f>SUM(C151:C154)</f>
        <v>10956395</v>
      </c>
      <c r="D150" s="461"/>
      <c r="E150" s="764"/>
      <c r="G150" s="109"/>
      <c r="H150" s="109"/>
      <c r="I150" s="109"/>
    </row>
    <row r="151" spans="1:9" ht="16.5" hidden="1">
      <c r="A151" s="13" t="s">
        <v>99</v>
      </c>
      <c r="B151" s="25" t="s">
        <v>8</v>
      </c>
      <c r="C151" s="821">
        <f>2116800+60000+1000000+800000</f>
        <v>3976800</v>
      </c>
      <c r="D151" s="762" t="s">
        <v>1407</v>
      </c>
      <c r="E151" s="764"/>
      <c r="G151" s="762"/>
      <c r="H151" s="109"/>
      <c r="I151" s="109"/>
    </row>
    <row r="152" spans="1:9" ht="16.5" hidden="1">
      <c r="A152" s="13" t="s">
        <v>205</v>
      </c>
      <c r="B152" s="25" t="s">
        <v>54</v>
      </c>
      <c r="C152" s="821">
        <v>10500</v>
      </c>
      <c r="D152" s="255"/>
      <c r="E152" s="172"/>
      <c r="F152" s="626"/>
      <c r="G152" s="763"/>
      <c r="H152" s="109"/>
      <c r="I152" s="109"/>
    </row>
    <row r="153" spans="1:5" ht="13.5" hidden="1">
      <c r="A153" s="13" t="s">
        <v>242</v>
      </c>
      <c r="B153" s="25" t="s">
        <v>794</v>
      </c>
      <c r="C153" s="821">
        <f>6745500/1.25*1.2-8585</f>
        <v>6467095</v>
      </c>
      <c r="D153" s="461" t="s">
        <v>1406</v>
      </c>
      <c r="E153" s="208"/>
    </row>
    <row r="154" spans="1:5" ht="13.5" hidden="1">
      <c r="A154" s="13" t="s">
        <v>100</v>
      </c>
      <c r="B154" s="25" t="s">
        <v>7</v>
      </c>
      <c r="C154" s="821">
        <f>420000+122000-40000</f>
        <v>502000</v>
      </c>
      <c r="D154" s="461" t="s">
        <v>1408</v>
      </c>
      <c r="E154" s="46"/>
    </row>
    <row r="155" spans="1:13" s="175" customFormat="1" ht="14.25" thickBot="1">
      <c r="A155" s="13"/>
      <c r="B155" s="13"/>
      <c r="C155" s="25"/>
      <c r="D155" s="25"/>
      <c r="F155" s="260"/>
      <c r="G155" s="260"/>
      <c r="H155" s="260"/>
      <c r="I155" s="260"/>
      <c r="J155" s="260"/>
      <c r="K155" s="260"/>
      <c r="L155" s="260"/>
      <c r="M155" s="260"/>
    </row>
    <row r="156" spans="1:5" ht="14.25" thickBot="1">
      <c r="A156" s="951" t="s">
        <v>4</v>
      </c>
      <c r="B156" s="952"/>
      <c r="C156" s="32">
        <f>C157+C161+C163+C166</f>
        <v>2425876</v>
      </c>
      <c r="D156" s="24"/>
      <c r="E156" s="25"/>
    </row>
    <row r="157" spans="1:5" ht="13.5">
      <c r="A157" s="353" t="s">
        <v>201</v>
      </c>
      <c r="B157" s="404" t="s">
        <v>200</v>
      </c>
      <c r="C157" s="34">
        <f>SUM(C158:C160)</f>
        <v>2351000</v>
      </c>
      <c r="D157" s="116"/>
      <c r="E157" s="26"/>
    </row>
    <row r="158" spans="1:5" ht="13.5" hidden="1">
      <c r="A158" s="13" t="s">
        <v>199</v>
      </c>
      <c r="B158" s="13" t="s">
        <v>198</v>
      </c>
      <c r="C158" s="821">
        <v>1050000</v>
      </c>
      <c r="D158" s="137"/>
      <c r="E158" s="137"/>
    </row>
    <row r="159" spans="1:5" ht="13.5" hidden="1">
      <c r="A159" s="13" t="s">
        <v>804</v>
      </c>
      <c r="B159" s="13" t="s">
        <v>805</v>
      </c>
      <c r="C159" s="821">
        <v>1260000</v>
      </c>
      <c r="D159" s="137"/>
      <c r="E159" s="33"/>
    </row>
    <row r="160" spans="1:5" ht="13.5" hidden="1">
      <c r="A160" s="13" t="s">
        <v>195</v>
      </c>
      <c r="B160" s="13" t="s">
        <v>194</v>
      </c>
      <c r="C160" s="821">
        <v>41000</v>
      </c>
      <c r="D160" s="25" t="s">
        <v>806</v>
      </c>
      <c r="E160" s="137"/>
    </row>
    <row r="161" spans="1:5" ht="13.5">
      <c r="A161" s="12" t="s">
        <v>193</v>
      </c>
      <c r="B161" s="404" t="s">
        <v>192</v>
      </c>
      <c r="C161" s="34">
        <f>SUM(C162)</f>
        <v>1</v>
      </c>
      <c r="D161" s="178"/>
      <c r="E161" s="178"/>
    </row>
    <row r="162" spans="1:5" ht="13.5" hidden="1">
      <c r="A162" s="13" t="s">
        <v>191</v>
      </c>
      <c r="B162" s="13" t="s">
        <v>190</v>
      </c>
      <c r="C162" s="821">
        <v>1</v>
      </c>
      <c r="D162" s="137"/>
      <c r="E162" s="137"/>
    </row>
    <row r="163" spans="1:5" ht="13.5">
      <c r="A163" s="12" t="s">
        <v>126</v>
      </c>
      <c r="B163" s="404" t="s">
        <v>127</v>
      </c>
      <c r="C163" s="33">
        <f>SUM(C164:C165)</f>
        <v>49075</v>
      </c>
      <c r="D163" s="137"/>
      <c r="E163" s="23"/>
    </row>
    <row r="164" spans="1:5" ht="13.5" hidden="1">
      <c r="A164" s="13" t="s">
        <v>101</v>
      </c>
      <c r="B164" s="25" t="s">
        <v>9</v>
      </c>
      <c r="C164" s="821">
        <v>17875</v>
      </c>
      <c r="D164" s="23"/>
      <c r="E164" s="33"/>
    </row>
    <row r="165" spans="1:5" ht="13.5" hidden="1">
      <c r="A165" s="107" t="s">
        <v>62</v>
      </c>
      <c r="B165" s="24" t="s">
        <v>63</v>
      </c>
      <c r="C165" s="821">
        <v>31200</v>
      </c>
      <c r="D165" s="115"/>
      <c r="E165" s="26"/>
    </row>
    <row r="166" spans="1:5" ht="13.5">
      <c r="A166" s="353" t="s">
        <v>188</v>
      </c>
      <c r="B166" s="26" t="s">
        <v>146</v>
      </c>
      <c r="C166" s="26">
        <f>SUM(C167)</f>
        <v>25800</v>
      </c>
      <c r="D166" s="115"/>
      <c r="E166" s="26"/>
    </row>
    <row r="167" spans="1:5" ht="13.5" hidden="1">
      <c r="A167" s="107" t="s">
        <v>189</v>
      </c>
      <c r="B167" s="24" t="s">
        <v>56</v>
      </c>
      <c r="C167" s="821">
        <v>25800</v>
      </c>
      <c r="D167" s="115"/>
      <c r="E167" s="26"/>
    </row>
    <row r="168" spans="1:5" ht="13.5">
      <c r="A168" s="107"/>
      <c r="B168" s="13"/>
      <c r="C168" s="24"/>
      <c r="D168" s="115"/>
      <c r="E168" s="26"/>
    </row>
    <row r="169" spans="1:5" ht="14.25" thickBot="1">
      <c r="A169" s="107"/>
      <c r="B169" s="13"/>
      <c r="C169" s="24"/>
      <c r="D169" s="115"/>
      <c r="E169" s="26"/>
    </row>
    <row r="170" spans="1:5" ht="12.75">
      <c r="A170" s="64" t="s">
        <v>807</v>
      </c>
      <c r="B170" s="221"/>
      <c r="C170" s="220"/>
      <c r="D170" s="219" t="s">
        <v>6</v>
      </c>
      <c r="E170" s="218">
        <v>1603</v>
      </c>
    </row>
    <row r="171" spans="1:5" ht="13.5" thickBot="1">
      <c r="A171" s="49"/>
      <c r="B171" s="205"/>
      <c r="C171" s="204"/>
      <c r="D171" s="217"/>
      <c r="E171" s="216"/>
    </row>
    <row r="172" spans="1:5" ht="12.75">
      <c r="A172" s="64" t="s">
        <v>808</v>
      </c>
      <c r="B172" s="221"/>
      <c r="C172" s="220"/>
      <c r="D172" s="221"/>
      <c r="E172" s="273"/>
    </row>
    <row r="173" spans="1:5" ht="12.75">
      <c r="A173" s="45" t="s">
        <v>809</v>
      </c>
      <c r="B173" s="208"/>
      <c r="C173" s="207"/>
      <c r="D173" s="208"/>
      <c r="E173" s="212"/>
    </row>
    <row r="174" spans="1:5" ht="13.5" thickBot="1">
      <c r="A174" s="49" t="s">
        <v>810</v>
      </c>
      <c r="B174" s="205"/>
      <c r="C174" s="204"/>
      <c r="D174" s="205"/>
      <c r="E174" s="230"/>
    </row>
    <row r="175" spans="1:5" ht="13.5">
      <c r="A175" s="52" t="s">
        <v>1365</v>
      </c>
      <c r="B175" s="13"/>
      <c r="C175" s="199"/>
      <c r="D175" s="106"/>
      <c r="E175" s="197"/>
    </row>
    <row r="176" spans="1:5" ht="13.5">
      <c r="A176" s="52" t="s">
        <v>811</v>
      </c>
      <c r="B176" s="13"/>
      <c r="C176" s="199"/>
      <c r="D176" s="106"/>
      <c r="E176" s="197"/>
    </row>
    <row r="177" spans="1:5" ht="13.5">
      <c r="A177" s="52" t="s">
        <v>1421</v>
      </c>
      <c r="B177" s="13"/>
      <c r="C177" s="199"/>
      <c r="D177" s="106"/>
      <c r="E177" s="197"/>
    </row>
    <row r="178" spans="1:5" ht="14.25" thickBot="1">
      <c r="A178" s="52" t="s">
        <v>11</v>
      </c>
      <c r="B178" s="196"/>
      <c r="C178" s="195"/>
      <c r="D178" s="625"/>
      <c r="E178" s="193"/>
    </row>
    <row r="179" spans="1:6" ht="14.25" thickBot="1">
      <c r="A179" s="54" t="s">
        <v>0</v>
      </c>
      <c r="B179" s="192"/>
      <c r="C179" s="55"/>
      <c r="D179" s="191"/>
      <c r="E179" s="161">
        <f>+C181+C196+C212+C217</f>
        <v>1285100</v>
      </c>
      <c r="F179" s="938"/>
    </row>
    <row r="180" spans="1:5" ht="14.25" thickBot="1">
      <c r="A180" s="13"/>
      <c r="B180" s="13"/>
      <c r="C180" s="25"/>
      <c r="D180" s="25"/>
      <c r="E180" s="25"/>
    </row>
    <row r="181" spans="1:5" ht="14.25" thickBot="1">
      <c r="A181" s="947" t="s">
        <v>2</v>
      </c>
      <c r="B181" s="948"/>
      <c r="C181" s="38">
        <f>C182+C184+C186+C188+C190+C192</f>
        <v>167900</v>
      </c>
      <c r="D181" s="24"/>
      <c r="E181" s="151"/>
    </row>
    <row r="182" spans="1:5" ht="13.5">
      <c r="A182" s="12" t="s">
        <v>113</v>
      </c>
      <c r="B182" s="404" t="s">
        <v>114</v>
      </c>
      <c r="C182" s="34">
        <f>SUM(C183)</f>
        <v>8650</v>
      </c>
      <c r="D182" s="283"/>
      <c r="E182" s="142"/>
    </row>
    <row r="183" spans="1:5" ht="13.5" hidden="1">
      <c r="A183" s="13" t="s">
        <v>50</v>
      </c>
      <c r="B183" s="107" t="s">
        <v>49</v>
      </c>
      <c r="C183" s="821">
        <v>8650</v>
      </c>
      <c r="D183" s="137"/>
      <c r="E183" s="33"/>
    </row>
    <row r="184" spans="1:5" ht="13.5">
      <c r="A184" s="12" t="s">
        <v>223</v>
      </c>
      <c r="B184" s="353" t="s">
        <v>256</v>
      </c>
      <c r="C184" s="26">
        <f>SUM(C185)</f>
        <v>14500</v>
      </c>
      <c r="D184" s="24"/>
      <c r="E184" s="24"/>
    </row>
    <row r="185" spans="1:5" ht="13.5" hidden="1">
      <c r="A185" s="13" t="s">
        <v>271</v>
      </c>
      <c r="B185" s="13" t="s">
        <v>270</v>
      </c>
      <c r="C185" s="821">
        <v>14500</v>
      </c>
      <c r="D185" s="115"/>
      <c r="E185" s="26"/>
    </row>
    <row r="186" spans="1:5" ht="13.5">
      <c r="A186" s="12" t="s">
        <v>115</v>
      </c>
      <c r="B186" s="353" t="s">
        <v>116</v>
      </c>
      <c r="C186" s="34">
        <f>SUM(C187)</f>
        <v>75650</v>
      </c>
      <c r="D186" s="137"/>
      <c r="E186" s="186"/>
    </row>
    <row r="187" spans="1:5" ht="13.5" hidden="1">
      <c r="A187" s="13" t="s">
        <v>96</v>
      </c>
      <c r="B187" s="13" t="s">
        <v>71</v>
      </c>
      <c r="C187" s="821">
        <v>75650</v>
      </c>
      <c r="D187" s="24"/>
      <c r="E187" s="24"/>
    </row>
    <row r="188" spans="1:5" ht="13.5">
      <c r="A188" s="12" t="s">
        <v>117</v>
      </c>
      <c r="B188" s="353" t="s">
        <v>118</v>
      </c>
      <c r="C188" s="34">
        <f>SUM(C189)</f>
        <v>21500</v>
      </c>
      <c r="D188" s="137"/>
      <c r="E188" s="186"/>
    </row>
    <row r="189" spans="1:5" ht="13.5" hidden="1">
      <c r="A189" s="13" t="s">
        <v>51</v>
      </c>
      <c r="B189" s="24" t="s">
        <v>52</v>
      </c>
      <c r="C189" s="821">
        <v>21500</v>
      </c>
      <c r="D189" s="24"/>
      <c r="E189" s="24"/>
    </row>
    <row r="190" spans="1:5" ht="13.5">
      <c r="A190" s="353" t="s">
        <v>134</v>
      </c>
      <c r="B190" s="353" t="s">
        <v>133</v>
      </c>
      <c r="C190" s="26">
        <f>SUM(C191)</f>
        <v>19900</v>
      </c>
      <c r="D190" s="24"/>
      <c r="E190" s="24"/>
    </row>
    <row r="191" spans="1:5" ht="13.5" hidden="1">
      <c r="A191" s="107" t="s">
        <v>103</v>
      </c>
      <c r="B191" s="24" t="s">
        <v>78</v>
      </c>
      <c r="C191" s="821">
        <v>19900</v>
      </c>
      <c r="D191" s="24"/>
      <c r="E191" s="24"/>
    </row>
    <row r="192" spans="1:5" ht="13.5">
      <c r="A192" s="353" t="s">
        <v>169</v>
      </c>
      <c r="B192" s="26" t="s">
        <v>144</v>
      </c>
      <c r="C192" s="26">
        <f>SUM(C193:C194)</f>
        <v>27700</v>
      </c>
      <c r="D192" s="24"/>
      <c r="E192" s="24"/>
    </row>
    <row r="193" spans="1:5" ht="13.5" hidden="1">
      <c r="A193" s="107" t="s">
        <v>171</v>
      </c>
      <c r="B193" s="24" t="s">
        <v>75</v>
      </c>
      <c r="C193" s="821">
        <v>9500</v>
      </c>
      <c r="D193" s="115"/>
      <c r="E193" s="26"/>
    </row>
    <row r="194" spans="1:5" ht="13.5" hidden="1">
      <c r="A194" s="107" t="s">
        <v>172</v>
      </c>
      <c r="B194" s="24" t="s">
        <v>135</v>
      </c>
      <c r="C194" s="821">
        <v>18200</v>
      </c>
      <c r="D194" s="24"/>
      <c r="E194" s="24"/>
    </row>
    <row r="195" spans="1:5" ht="14.25" thickBot="1">
      <c r="A195" s="107"/>
      <c r="B195" s="24"/>
      <c r="C195" s="24"/>
      <c r="D195" s="24"/>
      <c r="E195" s="24"/>
    </row>
    <row r="196" spans="1:5" ht="14.25" thickBot="1">
      <c r="A196" s="949" t="s">
        <v>3</v>
      </c>
      <c r="B196" s="950"/>
      <c r="C196" s="36">
        <f>+C199+C201+C204+C206+C197</f>
        <v>1049100</v>
      </c>
      <c r="D196" s="24"/>
      <c r="E196" s="24"/>
    </row>
    <row r="197" spans="1:5" ht="13.5">
      <c r="A197" s="12" t="s">
        <v>120</v>
      </c>
      <c r="B197" s="404" t="s">
        <v>121</v>
      </c>
      <c r="C197" s="34">
        <f>SUM(C198:C198)</f>
        <v>23000</v>
      </c>
      <c r="D197" s="137"/>
      <c r="E197" s="137"/>
    </row>
    <row r="198" spans="1:5" ht="13.5" hidden="1">
      <c r="A198" s="13" t="s">
        <v>57</v>
      </c>
      <c r="B198" s="13" t="s">
        <v>18</v>
      </c>
      <c r="C198" s="821">
        <v>23000</v>
      </c>
      <c r="D198" s="24"/>
      <c r="E198" s="24"/>
    </row>
    <row r="199" spans="1:5" ht="13.5">
      <c r="A199" s="12" t="s">
        <v>130</v>
      </c>
      <c r="B199" s="12" t="s">
        <v>131</v>
      </c>
      <c r="C199" s="26">
        <f>SUM(C200)</f>
        <v>16000</v>
      </c>
      <c r="D199" s="24"/>
      <c r="E199" s="24"/>
    </row>
    <row r="200" spans="1:5" ht="13.5" hidden="1">
      <c r="A200" s="13" t="s">
        <v>148</v>
      </c>
      <c r="B200" s="13" t="s">
        <v>77</v>
      </c>
      <c r="C200" s="821">
        <v>16000</v>
      </c>
      <c r="D200" s="115"/>
      <c r="E200" s="26"/>
    </row>
    <row r="201" spans="1:5" ht="13.5">
      <c r="A201" s="12" t="s">
        <v>122</v>
      </c>
      <c r="B201" s="12" t="s">
        <v>175</v>
      </c>
      <c r="C201" s="33">
        <f>SUM(C202:C203)</f>
        <v>223200</v>
      </c>
      <c r="D201" s="115"/>
      <c r="E201" s="26"/>
    </row>
    <row r="202" spans="1:5" ht="13.5" hidden="1">
      <c r="A202" s="13" t="s">
        <v>150</v>
      </c>
      <c r="B202" s="13" t="s">
        <v>149</v>
      </c>
      <c r="C202" s="821">
        <v>7500</v>
      </c>
      <c r="D202" s="24"/>
      <c r="E202" s="24"/>
    </row>
    <row r="203" spans="1:5" ht="13.5" hidden="1">
      <c r="A203" s="107" t="s">
        <v>174</v>
      </c>
      <c r="B203" s="25" t="s">
        <v>97</v>
      </c>
      <c r="C203" s="821">
        <f>115700+100000</f>
        <v>215700</v>
      </c>
      <c r="D203" s="13" t="s">
        <v>1403</v>
      </c>
      <c r="E203" s="107"/>
    </row>
    <row r="204" spans="1:5" ht="13.5">
      <c r="A204" s="12" t="s">
        <v>143</v>
      </c>
      <c r="B204" s="33" t="s">
        <v>61</v>
      </c>
      <c r="C204" s="33">
        <f>SUM(C205)</f>
        <v>74300</v>
      </c>
      <c r="D204" s="25"/>
      <c r="E204" s="172"/>
    </row>
    <row r="205" spans="1:5" ht="13.5" hidden="1">
      <c r="A205" s="13" t="s">
        <v>60</v>
      </c>
      <c r="B205" s="25" t="s">
        <v>61</v>
      </c>
      <c r="C205" s="821">
        <f>24300+50000</f>
        <v>74300</v>
      </c>
      <c r="D205" s="25"/>
      <c r="E205" s="172"/>
    </row>
    <row r="206" spans="1:5" ht="13.5">
      <c r="A206" s="12" t="s">
        <v>125</v>
      </c>
      <c r="B206" s="33" t="s">
        <v>8</v>
      </c>
      <c r="C206" s="26">
        <f>SUM(C207:C210)</f>
        <v>712600</v>
      </c>
      <c r="D206" s="24"/>
      <c r="E206" s="24"/>
    </row>
    <row r="207" spans="1:5" ht="13.5" hidden="1">
      <c r="A207" s="13" t="s">
        <v>99</v>
      </c>
      <c r="B207" s="25" t="s">
        <v>8</v>
      </c>
      <c r="C207" s="821">
        <f>291600+200000</f>
        <v>491600</v>
      </c>
      <c r="D207" s="25" t="s">
        <v>1402</v>
      </c>
      <c r="E207" s="172"/>
    </row>
    <row r="208" spans="1:5" ht="13.5" hidden="1">
      <c r="A208" s="13" t="s">
        <v>205</v>
      </c>
      <c r="B208" s="25" t="s">
        <v>54</v>
      </c>
      <c r="C208" s="821">
        <v>8000</v>
      </c>
      <c r="D208" s="172"/>
      <c r="E208" s="172"/>
    </row>
    <row r="209" spans="1:5" ht="13.5" hidden="1">
      <c r="A209" s="13" t="s">
        <v>266</v>
      </c>
      <c r="B209" s="25" t="s">
        <v>812</v>
      </c>
      <c r="C209" s="821">
        <f>95000+100000</f>
        <v>195000</v>
      </c>
      <c r="D209" s="172"/>
      <c r="E209" s="172"/>
    </row>
    <row r="210" spans="1:5" ht="13.5" hidden="1">
      <c r="A210" s="13" t="s">
        <v>100</v>
      </c>
      <c r="B210" s="25" t="s">
        <v>7</v>
      </c>
      <c r="C210" s="821">
        <v>18000</v>
      </c>
      <c r="D210" s="33"/>
      <c r="E210" s="46"/>
    </row>
    <row r="211" spans="1:5" ht="14.25" thickBot="1">
      <c r="A211" s="13"/>
      <c r="B211" s="25"/>
      <c r="C211" s="25"/>
      <c r="D211" s="33"/>
      <c r="E211" s="46"/>
    </row>
    <row r="212" spans="1:5" ht="14.25" thickBot="1">
      <c r="A212" s="953" t="s">
        <v>5</v>
      </c>
      <c r="B212" s="954"/>
      <c r="C212" s="37">
        <f>+C213</f>
        <v>42000</v>
      </c>
      <c r="D212" s="13"/>
      <c r="E212" s="13"/>
    </row>
    <row r="213" spans="1:5" ht="13.5">
      <c r="A213" s="353" t="s">
        <v>139</v>
      </c>
      <c r="B213" s="353" t="s">
        <v>140</v>
      </c>
      <c r="C213" s="33">
        <f>SUM(C214:C215)</f>
        <v>42000</v>
      </c>
      <c r="D213" s="116"/>
      <c r="E213" s="26"/>
    </row>
    <row r="214" spans="1:5" ht="13.5" hidden="1">
      <c r="A214" s="107" t="s">
        <v>363</v>
      </c>
      <c r="B214" s="107" t="s">
        <v>364</v>
      </c>
      <c r="C214" s="821">
        <v>30000</v>
      </c>
      <c r="D214" s="185" t="s">
        <v>1190</v>
      </c>
      <c r="E214" s="754"/>
    </row>
    <row r="215" spans="1:5" ht="13.5" hidden="1">
      <c r="A215" s="107" t="s">
        <v>157</v>
      </c>
      <c r="B215" s="25" t="s">
        <v>12</v>
      </c>
      <c r="C215" s="821">
        <v>12000</v>
      </c>
      <c r="D215" s="115"/>
      <c r="E215" s="26"/>
    </row>
    <row r="216" spans="1:5" ht="14.25" thickBot="1">
      <c r="A216" s="13"/>
      <c r="B216" s="13"/>
      <c r="C216" s="25"/>
      <c r="D216" s="25"/>
      <c r="E216" s="24"/>
    </row>
    <row r="217" spans="1:5" ht="14.25" thickBot="1">
      <c r="A217" s="951" t="s">
        <v>4</v>
      </c>
      <c r="B217" s="952"/>
      <c r="C217" s="32">
        <f>+C218+C220</f>
        <v>26100</v>
      </c>
      <c r="D217" s="24"/>
      <c r="E217" s="24"/>
    </row>
    <row r="218" spans="1:5" ht="13.5">
      <c r="A218" s="353" t="s">
        <v>126</v>
      </c>
      <c r="B218" s="404" t="s">
        <v>127</v>
      </c>
      <c r="C218" s="33">
        <f>SUM(C219)</f>
        <v>20100</v>
      </c>
      <c r="D218" s="115"/>
      <c r="E218" s="115"/>
    </row>
    <row r="219" spans="1:5" ht="13.5" hidden="1">
      <c r="A219" s="107" t="s">
        <v>101</v>
      </c>
      <c r="B219" s="24" t="s">
        <v>9</v>
      </c>
      <c r="C219" s="821">
        <v>20100</v>
      </c>
      <c r="D219" s="115"/>
      <c r="E219" s="26"/>
    </row>
    <row r="220" spans="1:5" ht="13.5">
      <c r="A220" s="353" t="s">
        <v>188</v>
      </c>
      <c r="B220" s="26" t="s">
        <v>146</v>
      </c>
      <c r="C220" s="26">
        <f>SUM(C221)</f>
        <v>6000</v>
      </c>
      <c r="D220" s="115"/>
      <c r="E220" s="26"/>
    </row>
    <row r="221" spans="1:5" ht="13.5" hidden="1">
      <c r="A221" s="107" t="s">
        <v>189</v>
      </c>
      <c r="B221" s="24" t="s">
        <v>56</v>
      </c>
      <c r="C221" s="821">
        <v>6000</v>
      </c>
      <c r="D221" s="115"/>
      <c r="E221" s="26"/>
    </row>
    <row r="222" spans="1:5" ht="13.5">
      <c r="A222" s="107"/>
      <c r="B222" s="24"/>
      <c r="C222" s="24"/>
      <c r="D222" s="115"/>
      <c r="E222" s="26"/>
    </row>
    <row r="223" spans="1:5" ht="14.25" thickBot="1">
      <c r="A223" s="107"/>
      <c r="B223" s="107"/>
      <c r="C223" s="25"/>
      <c r="D223" s="25"/>
      <c r="E223" s="627"/>
    </row>
    <row r="224" spans="1:5" ht="12.75">
      <c r="A224" s="64" t="s">
        <v>813</v>
      </c>
      <c r="B224" s="221"/>
      <c r="C224" s="220"/>
      <c r="D224" s="219" t="s">
        <v>6</v>
      </c>
      <c r="E224" s="218">
        <v>1604</v>
      </c>
    </row>
    <row r="225" spans="1:5" ht="13.5" thickBot="1">
      <c r="A225" s="49"/>
      <c r="B225" s="205"/>
      <c r="C225" s="204"/>
      <c r="D225" s="217"/>
      <c r="E225" s="216"/>
    </row>
    <row r="226" spans="1:5" ht="12.75">
      <c r="A226" s="64" t="s">
        <v>814</v>
      </c>
      <c r="B226" s="221"/>
      <c r="C226" s="220"/>
      <c r="D226" s="221"/>
      <c r="E226" s="273"/>
    </row>
    <row r="227" spans="1:5" ht="12.75">
      <c r="A227" s="45" t="s">
        <v>815</v>
      </c>
      <c r="B227" s="208"/>
      <c r="C227" s="207"/>
      <c r="D227" s="208"/>
      <c r="E227" s="212"/>
    </row>
    <row r="228" spans="1:5" ht="12.75">
      <c r="A228" s="45" t="s">
        <v>816</v>
      </c>
      <c r="B228" s="208"/>
      <c r="C228" s="207"/>
      <c r="D228" s="208"/>
      <c r="E228" s="212"/>
    </row>
    <row r="229" spans="1:5" ht="13.5" thickBot="1">
      <c r="A229" s="49" t="s">
        <v>817</v>
      </c>
      <c r="B229" s="205"/>
      <c r="C229" s="204"/>
      <c r="D229" s="205"/>
      <c r="E229" s="230"/>
    </row>
    <row r="230" spans="1:5" ht="13.5">
      <c r="A230" s="52" t="s">
        <v>1365</v>
      </c>
      <c r="B230" s="13"/>
      <c r="C230" s="199"/>
      <c r="D230" s="106"/>
      <c r="E230" s="197"/>
    </row>
    <row r="231" spans="1:5" ht="13.5">
      <c r="A231" s="52" t="s">
        <v>818</v>
      </c>
      <c r="B231" s="13"/>
      <c r="C231" s="199"/>
      <c r="D231" s="106"/>
      <c r="E231" s="197"/>
    </row>
    <row r="232" spans="1:5" ht="13.5">
      <c r="A232" s="52" t="s">
        <v>1421</v>
      </c>
      <c r="B232" s="13"/>
      <c r="C232" s="199"/>
      <c r="D232" s="106"/>
      <c r="E232" s="197"/>
    </row>
    <row r="233" spans="1:5" ht="14.25" thickBot="1">
      <c r="A233" s="52" t="s">
        <v>11</v>
      </c>
      <c r="B233" s="196"/>
      <c r="C233" s="195"/>
      <c r="D233" s="625"/>
      <c r="E233" s="193"/>
    </row>
    <row r="234" spans="1:6" ht="14.25" thickBot="1">
      <c r="A234" s="54" t="s">
        <v>0</v>
      </c>
      <c r="B234" s="192"/>
      <c r="C234" s="55"/>
      <c r="D234" s="191"/>
      <c r="E234" s="161">
        <f>+C236+C259+C274</f>
        <v>746160</v>
      </c>
      <c r="F234" s="938"/>
    </row>
    <row r="235" spans="1:5" ht="14.25" thickBot="1">
      <c r="A235" s="13"/>
      <c r="B235" s="13"/>
      <c r="C235" s="25"/>
      <c r="D235" s="25"/>
      <c r="E235" s="25"/>
    </row>
    <row r="236" spans="1:5" ht="14.25" thickBot="1">
      <c r="A236" s="947" t="s">
        <v>2</v>
      </c>
      <c r="B236" s="948"/>
      <c r="C236" s="38">
        <f>+C237+C239+C241+C243+C250+C253+C255+C246</f>
        <v>403060</v>
      </c>
      <c r="D236" s="24"/>
      <c r="E236" s="151"/>
    </row>
    <row r="237" spans="1:5" ht="13.5">
      <c r="A237" s="12" t="s">
        <v>223</v>
      </c>
      <c r="B237" s="353" t="s">
        <v>256</v>
      </c>
      <c r="C237" s="26">
        <f>SUM(C238:C238)</f>
        <v>11450</v>
      </c>
      <c r="D237" s="24"/>
      <c r="E237" s="24"/>
    </row>
    <row r="238" spans="1:5" ht="13.5" hidden="1">
      <c r="A238" s="13" t="s">
        <v>255</v>
      </c>
      <c r="B238" s="13" t="s">
        <v>254</v>
      </c>
      <c r="C238" s="821">
        <v>11450</v>
      </c>
      <c r="D238" s="115"/>
      <c r="E238" s="26"/>
    </row>
    <row r="239" spans="1:5" ht="13.5">
      <c r="A239" s="12" t="s">
        <v>115</v>
      </c>
      <c r="B239" s="353" t="s">
        <v>116</v>
      </c>
      <c r="C239" s="34">
        <f>SUM(C240)</f>
        <v>52300</v>
      </c>
      <c r="D239" s="137"/>
      <c r="E239" s="186"/>
    </row>
    <row r="240" spans="1:5" ht="13.5" hidden="1">
      <c r="A240" s="13" t="s">
        <v>96</v>
      </c>
      <c r="B240" s="13" t="s">
        <v>71</v>
      </c>
      <c r="C240" s="821">
        <v>52300</v>
      </c>
      <c r="D240" s="24"/>
      <c r="E240" s="24"/>
    </row>
    <row r="241" spans="1:5" ht="13.5">
      <c r="A241" s="12" t="s">
        <v>117</v>
      </c>
      <c r="B241" s="353" t="s">
        <v>118</v>
      </c>
      <c r="C241" s="34">
        <f>SUM(C242)</f>
        <v>59700</v>
      </c>
      <c r="D241" s="137"/>
      <c r="E241" s="186"/>
    </row>
    <row r="242" spans="1:5" ht="13.5" hidden="1">
      <c r="A242" s="13" t="s">
        <v>51</v>
      </c>
      <c r="B242" s="24" t="s">
        <v>52</v>
      </c>
      <c r="C242" s="821">
        <v>59700</v>
      </c>
      <c r="D242" s="24"/>
      <c r="E242" s="24"/>
    </row>
    <row r="243" spans="1:5" ht="13.5">
      <c r="A243" s="12" t="s">
        <v>219</v>
      </c>
      <c r="B243" s="26" t="s">
        <v>218</v>
      </c>
      <c r="C243" s="26">
        <f>SUM(C244:C245)</f>
        <v>81260</v>
      </c>
      <c r="D243" s="24"/>
      <c r="E243" s="24"/>
    </row>
    <row r="244" spans="1:5" ht="13.5" hidden="1">
      <c r="A244" s="13" t="s">
        <v>217</v>
      </c>
      <c r="B244" s="107" t="s">
        <v>252</v>
      </c>
      <c r="C244" s="821">
        <v>65660</v>
      </c>
      <c r="D244" s="24"/>
      <c r="E244" s="25"/>
    </row>
    <row r="245" spans="1:5" ht="13.5" hidden="1">
      <c r="A245" s="13" t="s">
        <v>465</v>
      </c>
      <c r="B245" s="13" t="s">
        <v>819</v>
      </c>
      <c r="C245" s="821">
        <v>15600</v>
      </c>
      <c r="D245" s="24"/>
      <c r="E245" s="13"/>
    </row>
    <row r="246" spans="1:5" ht="13.5">
      <c r="A246" s="12" t="s">
        <v>820</v>
      </c>
      <c r="B246" s="12" t="s">
        <v>821</v>
      </c>
      <c r="C246" s="33">
        <f>SUM(C247:C249)</f>
        <v>128250</v>
      </c>
      <c r="D246" s="107"/>
      <c r="E246" s="13"/>
    </row>
    <row r="247" spans="1:5" ht="13.5" hidden="1">
      <c r="A247" s="13" t="s">
        <v>822</v>
      </c>
      <c r="B247" s="13" t="s">
        <v>823</v>
      </c>
      <c r="C247" s="821">
        <v>67600</v>
      </c>
      <c r="D247" s="107"/>
      <c r="E247" s="13"/>
    </row>
    <row r="248" spans="1:5" ht="13.5" hidden="1">
      <c r="A248" s="13" t="s">
        <v>824</v>
      </c>
      <c r="B248" s="13" t="s">
        <v>825</v>
      </c>
      <c r="C248" s="821">
        <v>24900</v>
      </c>
      <c r="D248" s="107"/>
      <c r="E248" s="13"/>
    </row>
    <row r="249" spans="1:5" ht="13.5" hidden="1">
      <c r="A249" s="13" t="s">
        <v>826</v>
      </c>
      <c r="B249" s="13" t="s">
        <v>827</v>
      </c>
      <c r="C249" s="821">
        <v>35750</v>
      </c>
      <c r="D249" s="24"/>
      <c r="E249" s="24"/>
    </row>
    <row r="250" spans="1:5" ht="13.5">
      <c r="A250" s="353" t="s">
        <v>129</v>
      </c>
      <c r="B250" s="26" t="s">
        <v>119</v>
      </c>
      <c r="C250" s="26">
        <f>SUM(C251:C252)</f>
        <v>24350</v>
      </c>
      <c r="D250" s="24"/>
      <c r="E250" s="25"/>
    </row>
    <row r="251" spans="1:5" ht="13.5" hidden="1">
      <c r="A251" s="107" t="s">
        <v>828</v>
      </c>
      <c r="B251" s="13" t="s">
        <v>829</v>
      </c>
      <c r="C251" s="821">
        <v>14200</v>
      </c>
      <c r="D251" s="107"/>
      <c r="E251" s="13"/>
    </row>
    <row r="252" spans="1:5" ht="13.5" hidden="1">
      <c r="A252" s="107" t="s">
        <v>212</v>
      </c>
      <c r="B252" s="24" t="s">
        <v>211</v>
      </c>
      <c r="C252" s="821">
        <v>10150</v>
      </c>
      <c r="D252" s="24"/>
      <c r="E252" s="25"/>
    </row>
    <row r="253" spans="1:5" ht="13.5">
      <c r="A253" s="353" t="s">
        <v>134</v>
      </c>
      <c r="B253" s="353" t="s">
        <v>133</v>
      </c>
      <c r="C253" s="26">
        <f>SUM(C254)</f>
        <v>11000</v>
      </c>
      <c r="D253" s="24"/>
      <c r="E253" s="24"/>
    </row>
    <row r="254" spans="1:5" s="255" customFormat="1" ht="13.5" hidden="1">
      <c r="A254" s="13" t="s">
        <v>103</v>
      </c>
      <c r="B254" s="25" t="s">
        <v>78</v>
      </c>
      <c r="C254" s="821">
        <v>11000</v>
      </c>
      <c r="D254" s="25"/>
      <c r="E254" s="25"/>
    </row>
    <row r="255" spans="1:5" ht="13.5">
      <c r="A255" s="353" t="s">
        <v>169</v>
      </c>
      <c r="B255" s="26" t="s">
        <v>144</v>
      </c>
      <c r="C255" s="26">
        <f>SUM(C256:C257)</f>
        <v>34750</v>
      </c>
      <c r="D255" s="24"/>
      <c r="E255" s="24"/>
    </row>
    <row r="256" spans="1:5" ht="13.5" hidden="1">
      <c r="A256" s="107" t="s">
        <v>830</v>
      </c>
      <c r="B256" s="13" t="s">
        <v>70</v>
      </c>
      <c r="C256" s="821">
        <v>26250</v>
      </c>
      <c r="D256" s="24"/>
      <c r="E256" s="24"/>
    </row>
    <row r="257" spans="1:5" ht="13.5" hidden="1">
      <c r="A257" s="107" t="s">
        <v>172</v>
      </c>
      <c r="B257" s="24" t="s">
        <v>135</v>
      </c>
      <c r="C257" s="821">
        <v>8500</v>
      </c>
      <c r="D257" s="24"/>
      <c r="E257" s="24"/>
    </row>
    <row r="258" spans="1:5" ht="14.25" thickBot="1">
      <c r="A258" s="107"/>
      <c r="B258" s="24"/>
      <c r="C258" s="24"/>
      <c r="D258" s="24"/>
      <c r="E258" s="24"/>
    </row>
    <row r="259" spans="1:5" ht="14.25" thickBot="1">
      <c r="A259" s="949" t="s">
        <v>3</v>
      </c>
      <c r="B259" s="950"/>
      <c r="C259" s="36">
        <f>+C260+C264+C267+C269</f>
        <v>249800</v>
      </c>
      <c r="D259" s="24"/>
      <c r="E259" s="24"/>
    </row>
    <row r="260" spans="1:5" ht="13.5">
      <c r="A260" s="12" t="s">
        <v>130</v>
      </c>
      <c r="B260" s="12" t="s">
        <v>131</v>
      </c>
      <c r="C260" s="26">
        <f>SUM(C261:C263)</f>
        <v>37050</v>
      </c>
      <c r="D260" s="24"/>
      <c r="E260" s="24"/>
    </row>
    <row r="261" spans="1:5" ht="13.5" hidden="1">
      <c r="A261" s="107" t="s">
        <v>831</v>
      </c>
      <c r="B261" s="13" t="s">
        <v>832</v>
      </c>
      <c r="C261" s="821">
        <v>15800</v>
      </c>
      <c r="D261" s="107"/>
      <c r="E261" s="107"/>
    </row>
    <row r="262" spans="1:5" ht="13.5" hidden="1">
      <c r="A262" s="13" t="s">
        <v>207</v>
      </c>
      <c r="B262" s="13" t="s">
        <v>206</v>
      </c>
      <c r="C262" s="821">
        <v>1500</v>
      </c>
      <c r="D262" s="24"/>
      <c r="E262" s="25"/>
    </row>
    <row r="263" spans="1:5" ht="13.5" hidden="1">
      <c r="A263" s="13" t="s">
        <v>148</v>
      </c>
      <c r="B263" s="13" t="s">
        <v>77</v>
      </c>
      <c r="C263" s="821">
        <v>19750</v>
      </c>
      <c r="D263" s="115"/>
      <c r="E263" s="26"/>
    </row>
    <row r="264" spans="1:5" ht="13.5">
      <c r="A264" s="12" t="s">
        <v>122</v>
      </c>
      <c r="B264" s="12" t="s">
        <v>175</v>
      </c>
      <c r="C264" s="33">
        <f>SUM(C265:C266)</f>
        <v>136550</v>
      </c>
      <c r="D264" s="115"/>
      <c r="E264" s="26"/>
    </row>
    <row r="265" spans="1:5" ht="13.5" hidden="1">
      <c r="A265" s="13" t="s">
        <v>150</v>
      </c>
      <c r="B265" s="13" t="s">
        <v>149</v>
      </c>
      <c r="C265" s="821">
        <v>33000</v>
      </c>
      <c r="D265" s="25"/>
      <c r="E265" s="24"/>
    </row>
    <row r="266" spans="1:5" ht="13.5" hidden="1">
      <c r="A266" s="107" t="s">
        <v>174</v>
      </c>
      <c r="B266" s="25" t="s">
        <v>97</v>
      </c>
      <c r="C266" s="821">
        <v>103550</v>
      </c>
      <c r="D266" s="13" t="s">
        <v>951</v>
      </c>
      <c r="E266" s="107"/>
    </row>
    <row r="267" spans="1:5" ht="13.5">
      <c r="A267" s="12" t="s">
        <v>143</v>
      </c>
      <c r="B267" s="33" t="s">
        <v>61</v>
      </c>
      <c r="C267" s="33">
        <f>SUM(C268)</f>
        <v>9000</v>
      </c>
      <c r="D267" s="25"/>
      <c r="E267" s="172"/>
    </row>
    <row r="268" spans="1:5" ht="13.5" hidden="1">
      <c r="A268" s="13" t="s">
        <v>60</v>
      </c>
      <c r="B268" s="25" t="s">
        <v>61</v>
      </c>
      <c r="C268" s="821">
        <v>9000</v>
      </c>
      <c r="D268" s="25"/>
      <c r="E268" s="172"/>
    </row>
    <row r="269" spans="1:5" ht="13.5">
      <c r="A269" s="12" t="s">
        <v>125</v>
      </c>
      <c r="B269" s="33" t="s">
        <v>8</v>
      </c>
      <c r="C269" s="26">
        <f>SUM(C270:C272)</f>
        <v>67200</v>
      </c>
      <c r="D269" s="24"/>
      <c r="E269" s="24"/>
    </row>
    <row r="270" spans="1:5" ht="13.5" hidden="1">
      <c r="A270" s="13" t="s">
        <v>99</v>
      </c>
      <c r="B270" s="25" t="s">
        <v>8</v>
      </c>
      <c r="C270" s="821">
        <v>45000</v>
      </c>
      <c r="D270" s="25"/>
      <c r="E270" s="172"/>
    </row>
    <row r="271" spans="1:5" ht="13.5" hidden="1">
      <c r="A271" s="13" t="s">
        <v>205</v>
      </c>
      <c r="B271" s="25" t="s">
        <v>54</v>
      </c>
      <c r="C271" s="821">
        <v>6500</v>
      </c>
      <c r="D271" s="172"/>
      <c r="E271" s="172"/>
    </row>
    <row r="272" spans="1:5" ht="13.5" hidden="1">
      <c r="A272" s="13" t="s">
        <v>100</v>
      </c>
      <c r="B272" s="25" t="s">
        <v>7</v>
      </c>
      <c r="C272" s="821">
        <v>15700</v>
      </c>
      <c r="D272" s="33"/>
      <c r="E272" s="46"/>
    </row>
    <row r="273" spans="1:5" ht="14.25" thickBot="1">
      <c r="A273" s="13"/>
      <c r="B273" s="13"/>
      <c r="C273" s="25"/>
      <c r="D273" s="25"/>
      <c r="E273" s="24"/>
    </row>
    <row r="274" spans="1:5" ht="14.25" thickBot="1">
      <c r="A274" s="951" t="s">
        <v>4</v>
      </c>
      <c r="B274" s="952"/>
      <c r="C274" s="32">
        <f>C275+C277+C279</f>
        <v>93300</v>
      </c>
      <c r="D274" s="107"/>
      <c r="E274" s="24"/>
    </row>
    <row r="275" spans="1:5" ht="13.5">
      <c r="A275" s="353" t="s">
        <v>201</v>
      </c>
      <c r="B275" s="404" t="s">
        <v>200</v>
      </c>
      <c r="C275" s="34">
        <f>SUM(C276)</f>
        <v>69000</v>
      </c>
      <c r="D275" s="116"/>
      <c r="E275" s="26"/>
    </row>
    <row r="276" spans="1:5" ht="13.5" hidden="1">
      <c r="A276" s="107" t="s">
        <v>833</v>
      </c>
      <c r="B276" s="13" t="s">
        <v>834</v>
      </c>
      <c r="C276" s="821">
        <v>69000</v>
      </c>
      <c r="E276" s="176"/>
    </row>
    <row r="277" spans="1:5" ht="13.5">
      <c r="A277" s="353" t="s">
        <v>126</v>
      </c>
      <c r="B277" s="404" t="s">
        <v>127</v>
      </c>
      <c r="C277" s="33">
        <f>SUM(C278)</f>
        <v>16800</v>
      </c>
      <c r="D277" s="115"/>
      <c r="E277" s="115"/>
    </row>
    <row r="278" spans="1:5" ht="13.5" hidden="1">
      <c r="A278" s="107" t="s">
        <v>101</v>
      </c>
      <c r="B278" s="24" t="s">
        <v>9</v>
      </c>
      <c r="C278" s="821">
        <v>16800</v>
      </c>
      <c r="D278" s="116"/>
      <c r="E278" s="26"/>
    </row>
    <row r="279" spans="1:5" ht="13.5">
      <c r="A279" s="353" t="s">
        <v>188</v>
      </c>
      <c r="B279" s="26" t="s">
        <v>146</v>
      </c>
      <c r="C279" s="26">
        <f>SUM(C280)</f>
        <v>7500</v>
      </c>
      <c r="D279" s="115"/>
      <c r="E279" s="26"/>
    </row>
    <row r="280" spans="1:5" ht="13.5" hidden="1">
      <c r="A280" s="107" t="s">
        <v>189</v>
      </c>
      <c r="B280" s="24" t="s">
        <v>56</v>
      </c>
      <c r="C280" s="821">
        <v>7500</v>
      </c>
      <c r="D280" s="115"/>
      <c r="E280" s="26"/>
    </row>
    <row r="281" spans="1:5" ht="13.5">
      <c r="A281" s="107"/>
      <c r="B281" s="24"/>
      <c r="C281" s="24"/>
      <c r="D281" s="115"/>
      <c r="E281" s="26"/>
    </row>
    <row r="282" spans="1:5" ht="14.25" thickBot="1">
      <c r="A282" s="107"/>
      <c r="B282" s="628"/>
      <c r="C282" s="254"/>
      <c r="D282" s="184"/>
      <c r="E282" s="107"/>
    </row>
    <row r="283" spans="1:5" ht="12.75">
      <c r="A283" s="64" t="s">
        <v>835</v>
      </c>
      <c r="B283" s="221"/>
      <c r="C283" s="220"/>
      <c r="D283" s="219" t="s">
        <v>6</v>
      </c>
      <c r="E283" s="218">
        <v>1605</v>
      </c>
    </row>
    <row r="284" spans="1:5" ht="13.5" thickBot="1">
      <c r="A284" s="49"/>
      <c r="B284" s="205"/>
      <c r="C284" s="204"/>
      <c r="D284" s="217"/>
      <c r="E284" s="216"/>
    </row>
    <row r="285" spans="1:5" ht="12.75">
      <c r="A285" s="64" t="s">
        <v>836</v>
      </c>
      <c r="B285" s="221"/>
      <c r="C285" s="220"/>
      <c r="D285" s="221"/>
      <c r="E285" s="273"/>
    </row>
    <row r="286" spans="1:5" ht="12.75">
      <c r="A286" s="45" t="s">
        <v>837</v>
      </c>
      <c r="B286" s="208"/>
      <c r="C286" s="207"/>
      <c r="D286" s="208"/>
      <c r="E286" s="212"/>
    </row>
    <row r="287" spans="1:5" ht="12.75">
      <c r="A287" s="45" t="s">
        <v>838</v>
      </c>
      <c r="B287" s="208"/>
      <c r="C287" s="207"/>
      <c r="D287" s="208"/>
      <c r="E287" s="212"/>
    </row>
    <row r="288" spans="1:5" ht="12.75">
      <c r="A288" s="45" t="s">
        <v>839</v>
      </c>
      <c r="B288" s="208"/>
      <c r="C288" s="207"/>
      <c r="D288" s="208"/>
      <c r="E288" s="212"/>
    </row>
    <row r="289" spans="1:5" ht="12.75">
      <c r="A289" s="45" t="s">
        <v>840</v>
      </c>
      <c r="B289" s="208"/>
      <c r="C289" s="207"/>
      <c r="D289" s="208"/>
      <c r="E289" s="212"/>
    </row>
    <row r="290" spans="1:5" ht="12.75">
      <c r="A290" s="45" t="s">
        <v>841</v>
      </c>
      <c r="B290" s="208"/>
      <c r="C290" s="207"/>
      <c r="D290" s="208"/>
      <c r="E290" s="212"/>
    </row>
    <row r="291" spans="1:5" ht="13.5" thickBot="1">
      <c r="A291" s="49" t="s">
        <v>842</v>
      </c>
      <c r="B291" s="205"/>
      <c r="C291" s="204"/>
      <c r="D291" s="205"/>
      <c r="E291" s="230"/>
    </row>
    <row r="292" spans="1:5" ht="13.5">
      <c r="A292" s="52" t="s">
        <v>1365</v>
      </c>
      <c r="B292" s="13"/>
      <c r="C292" s="199"/>
      <c r="D292" s="106"/>
      <c r="E292" s="197"/>
    </row>
    <row r="293" spans="1:5" ht="13.5">
      <c r="A293" s="52" t="s">
        <v>818</v>
      </c>
      <c r="B293" s="13"/>
      <c r="C293" s="199"/>
      <c r="D293" s="106"/>
      <c r="E293" s="197"/>
    </row>
    <row r="294" spans="1:5" ht="13.5">
      <c r="A294" s="52" t="s">
        <v>1421</v>
      </c>
      <c r="B294" s="13"/>
      <c r="C294" s="199"/>
      <c r="D294" s="106"/>
      <c r="E294" s="197"/>
    </row>
    <row r="295" spans="1:5" ht="14.25" thickBot="1">
      <c r="A295" s="52" t="s">
        <v>11</v>
      </c>
      <c r="B295" s="196"/>
      <c r="C295" s="195"/>
      <c r="D295" s="625"/>
      <c r="E295" s="193"/>
    </row>
    <row r="296" spans="1:6" ht="14.25" thickBot="1">
      <c r="A296" s="54" t="s">
        <v>0</v>
      </c>
      <c r="B296" s="192"/>
      <c r="C296" s="55"/>
      <c r="D296" s="191"/>
      <c r="E296" s="161">
        <f>+C298+C319+C335</f>
        <v>840150</v>
      </c>
      <c r="F296" s="938"/>
    </row>
    <row r="297" spans="1:5" ht="14.25" thickBot="1">
      <c r="A297" s="13"/>
      <c r="B297" s="13"/>
      <c r="C297" s="25"/>
      <c r="D297" s="25"/>
      <c r="E297" s="25"/>
    </row>
    <row r="298" spans="1:5" ht="14.25" thickBot="1">
      <c r="A298" s="947" t="s">
        <v>2</v>
      </c>
      <c r="B298" s="948"/>
      <c r="C298" s="38">
        <f>+C299+C303+C301+C305+C311+C313+C315+C307</f>
        <v>482050</v>
      </c>
      <c r="D298" s="24"/>
      <c r="E298" s="151"/>
    </row>
    <row r="299" spans="1:5" ht="13.5">
      <c r="A299" s="12" t="s">
        <v>113</v>
      </c>
      <c r="B299" s="404" t="s">
        <v>114</v>
      </c>
      <c r="C299" s="34">
        <f>SUM(C300)</f>
        <v>256000</v>
      </c>
      <c r="D299" s="629"/>
      <c r="E299" s="186"/>
    </row>
    <row r="300" spans="1:5" ht="13.5" hidden="1">
      <c r="A300" s="13" t="s">
        <v>843</v>
      </c>
      <c r="B300" s="107" t="s">
        <v>844</v>
      </c>
      <c r="C300" s="821">
        <v>256000</v>
      </c>
      <c r="D300" s="137"/>
      <c r="E300" s="24"/>
    </row>
    <row r="301" spans="1:5" ht="13.5">
      <c r="A301" s="12" t="s">
        <v>115</v>
      </c>
      <c r="B301" s="353" t="s">
        <v>116</v>
      </c>
      <c r="C301" s="34">
        <f>SUM(C302)</f>
        <v>29750</v>
      </c>
      <c r="D301" s="137"/>
      <c r="E301" s="186"/>
    </row>
    <row r="302" spans="1:5" ht="13.5" hidden="1">
      <c r="A302" s="13" t="s">
        <v>96</v>
      </c>
      <c r="B302" s="13" t="s">
        <v>71</v>
      </c>
      <c r="C302" s="821">
        <v>29750</v>
      </c>
      <c r="D302" s="24"/>
      <c r="E302" s="24"/>
    </row>
    <row r="303" spans="1:5" ht="13.5">
      <c r="A303" s="12" t="s">
        <v>117</v>
      </c>
      <c r="B303" s="353" t="s">
        <v>118</v>
      </c>
      <c r="C303" s="34">
        <f>SUM(C304)</f>
        <v>8500</v>
      </c>
      <c r="D303" s="137"/>
      <c r="E303" s="186"/>
    </row>
    <row r="304" spans="1:5" ht="13.5" hidden="1">
      <c r="A304" s="13" t="s">
        <v>51</v>
      </c>
      <c r="B304" s="24" t="s">
        <v>52</v>
      </c>
      <c r="C304" s="821">
        <v>8500</v>
      </c>
      <c r="D304" s="24"/>
      <c r="E304" s="24"/>
    </row>
    <row r="305" spans="1:5" ht="13.5">
      <c r="A305" s="12" t="s">
        <v>219</v>
      </c>
      <c r="B305" s="26" t="s">
        <v>218</v>
      </c>
      <c r="C305" s="26">
        <f>SUM(C306:C306)</f>
        <v>20000</v>
      </c>
      <c r="D305" s="24"/>
      <c r="E305" s="24"/>
    </row>
    <row r="306" spans="1:5" ht="13.5" hidden="1">
      <c r="A306" s="13" t="s">
        <v>217</v>
      </c>
      <c r="B306" s="107" t="s">
        <v>252</v>
      </c>
      <c r="C306" s="821">
        <v>20000</v>
      </c>
      <c r="D306" s="24"/>
      <c r="E306" s="24"/>
    </row>
    <row r="307" spans="1:5" ht="13.5">
      <c r="A307" s="353" t="s">
        <v>820</v>
      </c>
      <c r="B307" s="12" t="s">
        <v>821</v>
      </c>
      <c r="C307" s="26">
        <f>SUM(C308:C310)</f>
        <v>114350</v>
      </c>
      <c r="D307" s="107"/>
      <c r="E307" s="13"/>
    </row>
    <row r="308" spans="1:5" ht="13.5" hidden="1">
      <c r="A308" s="107" t="s">
        <v>824</v>
      </c>
      <c r="B308" s="13" t="s">
        <v>825</v>
      </c>
      <c r="C308" s="821">
        <v>24400</v>
      </c>
      <c r="D308" s="107"/>
      <c r="E308" s="13"/>
    </row>
    <row r="309" spans="1:5" ht="13.5" hidden="1">
      <c r="A309" s="107" t="s">
        <v>826</v>
      </c>
      <c r="B309" s="13" t="s">
        <v>827</v>
      </c>
      <c r="C309" s="821">
        <v>3950</v>
      </c>
      <c r="D309" s="24"/>
      <c r="E309" s="24"/>
    </row>
    <row r="310" spans="1:5" ht="13.5" hidden="1">
      <c r="A310" s="13" t="s">
        <v>845</v>
      </c>
      <c r="B310" s="13" t="s">
        <v>846</v>
      </c>
      <c r="C310" s="821">
        <v>86000</v>
      </c>
      <c r="D310" s="107"/>
      <c r="E310" s="13"/>
    </row>
    <row r="311" spans="1:5" ht="13.5">
      <c r="A311" s="353" t="s">
        <v>129</v>
      </c>
      <c r="B311" s="26" t="s">
        <v>119</v>
      </c>
      <c r="C311" s="26">
        <f>SUM(C312)</f>
        <v>7500</v>
      </c>
      <c r="D311" s="24"/>
      <c r="E311" s="24"/>
    </row>
    <row r="312" spans="1:5" ht="13.5" hidden="1">
      <c r="A312" s="107" t="s">
        <v>828</v>
      </c>
      <c r="B312" s="13" t="s">
        <v>829</v>
      </c>
      <c r="C312" s="821">
        <v>7500</v>
      </c>
      <c r="D312" s="107"/>
      <c r="E312" s="107"/>
    </row>
    <row r="313" spans="1:5" ht="13.5">
      <c r="A313" s="353" t="s">
        <v>134</v>
      </c>
      <c r="B313" s="353" t="s">
        <v>133</v>
      </c>
      <c r="C313" s="26">
        <f>SUM(C314)</f>
        <v>12250</v>
      </c>
      <c r="D313" s="24"/>
      <c r="E313" s="24"/>
    </row>
    <row r="314" spans="1:5" s="255" customFormat="1" ht="13.5" hidden="1">
      <c r="A314" s="13" t="s">
        <v>103</v>
      </c>
      <c r="B314" s="25" t="s">
        <v>78</v>
      </c>
      <c r="C314" s="821">
        <v>12250</v>
      </c>
      <c r="D314" s="25"/>
      <c r="E314" s="25"/>
    </row>
    <row r="315" spans="1:5" ht="13.5">
      <c r="A315" s="353" t="s">
        <v>169</v>
      </c>
      <c r="B315" s="26" t="s">
        <v>144</v>
      </c>
      <c r="C315" s="26">
        <f>SUM(C316:C317)</f>
        <v>33700</v>
      </c>
      <c r="D315" s="24"/>
      <c r="E315" s="24"/>
    </row>
    <row r="316" spans="1:5" ht="13.5" hidden="1">
      <c r="A316" s="107" t="s">
        <v>830</v>
      </c>
      <c r="B316" s="13" t="s">
        <v>70</v>
      </c>
      <c r="C316" s="821">
        <v>23200</v>
      </c>
      <c r="D316" s="24"/>
      <c r="E316" s="24"/>
    </row>
    <row r="317" spans="1:5" ht="13.5" hidden="1">
      <c r="A317" s="107" t="s">
        <v>172</v>
      </c>
      <c r="B317" s="24" t="s">
        <v>135</v>
      </c>
      <c r="C317" s="821">
        <v>10500</v>
      </c>
      <c r="D317" s="24"/>
      <c r="E317" s="24"/>
    </row>
    <row r="318" spans="1:5" ht="14.25" thickBot="1">
      <c r="A318" s="107"/>
      <c r="B318" s="24"/>
      <c r="C318" s="24"/>
      <c r="D318" s="24"/>
      <c r="E318" s="24"/>
    </row>
    <row r="319" spans="1:5" ht="14.25" thickBot="1">
      <c r="A319" s="949" t="s">
        <v>3</v>
      </c>
      <c r="B319" s="950"/>
      <c r="C319" s="36">
        <f>+C320+C325+C328+C330+C323</f>
        <v>314600</v>
      </c>
      <c r="D319" s="24"/>
      <c r="E319" s="24"/>
    </row>
    <row r="320" spans="1:5" ht="13.5">
      <c r="A320" s="12" t="s">
        <v>130</v>
      </c>
      <c r="B320" s="12" t="s">
        <v>131</v>
      </c>
      <c r="C320" s="26">
        <f>SUM(C321:C322)</f>
        <v>24100</v>
      </c>
      <c r="D320" s="24"/>
      <c r="E320" s="24"/>
    </row>
    <row r="321" spans="1:5" ht="13.5" hidden="1">
      <c r="A321" s="107" t="s">
        <v>831</v>
      </c>
      <c r="B321" s="13" t="s">
        <v>832</v>
      </c>
      <c r="C321" s="821">
        <v>11600</v>
      </c>
      <c r="D321" s="107"/>
      <c r="E321" s="107"/>
    </row>
    <row r="322" spans="1:5" ht="13.5" hidden="1">
      <c r="A322" s="13" t="s">
        <v>148</v>
      </c>
      <c r="B322" s="13" t="s">
        <v>77</v>
      </c>
      <c r="C322" s="821">
        <v>12500</v>
      </c>
      <c r="D322" s="137"/>
      <c r="E322" s="33"/>
    </row>
    <row r="323" spans="1:5" ht="13.5">
      <c r="A323" s="12" t="s">
        <v>398</v>
      </c>
      <c r="B323" s="12" t="s">
        <v>399</v>
      </c>
      <c r="C323" s="33">
        <f>SUM(C324)</f>
        <v>22500</v>
      </c>
      <c r="D323" s="137"/>
      <c r="E323" s="33"/>
    </row>
    <row r="324" spans="1:5" ht="13.5" hidden="1">
      <c r="A324" s="13" t="s">
        <v>404</v>
      </c>
      <c r="B324" s="13" t="s">
        <v>405</v>
      </c>
      <c r="C324" s="821">
        <v>22500</v>
      </c>
      <c r="D324" s="137"/>
      <c r="E324" s="33"/>
    </row>
    <row r="325" spans="1:5" ht="13.5">
      <c r="A325" s="12" t="s">
        <v>122</v>
      </c>
      <c r="B325" s="12" t="s">
        <v>175</v>
      </c>
      <c r="C325" s="33">
        <f>SUM(C326:C327)</f>
        <v>184100</v>
      </c>
      <c r="D325" s="23"/>
      <c r="E325" s="33"/>
    </row>
    <row r="326" spans="1:5" ht="13.5" hidden="1">
      <c r="A326" s="13" t="s">
        <v>150</v>
      </c>
      <c r="B326" s="13" t="s">
        <v>149</v>
      </c>
      <c r="C326" s="821">
        <v>6500</v>
      </c>
      <c r="D326" s="24"/>
      <c r="E326" s="24"/>
    </row>
    <row r="327" spans="1:5" ht="13.5" hidden="1">
      <c r="A327" s="107" t="s">
        <v>174</v>
      </c>
      <c r="B327" s="25" t="s">
        <v>97</v>
      </c>
      <c r="C327" s="821">
        <f>155600+22000</f>
        <v>177600</v>
      </c>
      <c r="D327" s="13" t="s">
        <v>1191</v>
      </c>
      <c r="E327" s="107"/>
    </row>
    <row r="328" spans="1:5" ht="13.5">
      <c r="A328" s="12" t="s">
        <v>143</v>
      </c>
      <c r="B328" s="33" t="s">
        <v>61</v>
      </c>
      <c r="C328" s="33">
        <f>SUM(C329)</f>
        <v>13600</v>
      </c>
      <c r="D328" s="25"/>
      <c r="E328" s="172"/>
    </row>
    <row r="329" spans="1:5" ht="13.5" hidden="1">
      <c r="A329" s="13" t="s">
        <v>60</v>
      </c>
      <c r="B329" s="25" t="s">
        <v>61</v>
      </c>
      <c r="C329" s="821">
        <v>13600</v>
      </c>
      <c r="D329" s="25"/>
      <c r="E329" s="172"/>
    </row>
    <row r="330" spans="1:5" ht="13.5">
      <c r="A330" s="12" t="s">
        <v>125</v>
      </c>
      <c r="B330" s="33" t="s">
        <v>8</v>
      </c>
      <c r="C330" s="26">
        <f>SUM(C331:C333)</f>
        <v>70300</v>
      </c>
      <c r="D330" s="24"/>
      <c r="E330" s="24"/>
    </row>
    <row r="331" spans="1:5" ht="13.5" hidden="1">
      <c r="A331" s="13" t="s">
        <v>99</v>
      </c>
      <c r="B331" s="25" t="s">
        <v>8</v>
      </c>
      <c r="C331" s="821">
        <v>55000</v>
      </c>
      <c r="D331" s="25"/>
      <c r="E331" s="172"/>
    </row>
    <row r="332" spans="1:5" ht="13.5" hidden="1">
      <c r="A332" s="13" t="s">
        <v>205</v>
      </c>
      <c r="B332" s="25" t="s">
        <v>54</v>
      </c>
      <c r="C332" s="821">
        <v>5000</v>
      </c>
      <c r="D332" s="172"/>
      <c r="E332" s="172"/>
    </row>
    <row r="333" spans="1:5" ht="13.5" hidden="1">
      <c r="A333" s="13" t="s">
        <v>100</v>
      </c>
      <c r="B333" s="25" t="s">
        <v>7</v>
      </c>
      <c r="C333" s="821">
        <v>10300</v>
      </c>
      <c r="D333" s="33"/>
      <c r="E333" s="46"/>
    </row>
    <row r="334" spans="1:5" ht="14.25" thickBot="1">
      <c r="A334" s="13"/>
      <c r="B334" s="13"/>
      <c r="C334" s="25"/>
      <c r="D334" s="25"/>
      <c r="E334" s="24"/>
    </row>
    <row r="335" spans="1:5" ht="14.25" thickBot="1">
      <c r="A335" s="951" t="s">
        <v>4</v>
      </c>
      <c r="B335" s="952"/>
      <c r="C335" s="32">
        <f>+C336+C338+C340</f>
        <v>43500</v>
      </c>
      <c r="D335" s="24"/>
      <c r="E335" s="24"/>
    </row>
    <row r="336" spans="1:5" ht="13.5">
      <c r="A336" s="353" t="s">
        <v>201</v>
      </c>
      <c r="B336" s="404" t="s">
        <v>200</v>
      </c>
      <c r="C336" s="34">
        <f>SUM(C337)</f>
        <v>18500</v>
      </c>
      <c r="D336" s="116"/>
      <c r="E336" s="26"/>
    </row>
    <row r="337" spans="1:5" ht="13.5" hidden="1">
      <c r="A337" s="107" t="s">
        <v>833</v>
      </c>
      <c r="B337" s="13" t="s">
        <v>834</v>
      </c>
      <c r="C337" s="821">
        <v>18500</v>
      </c>
      <c r="D337" s="107"/>
      <c r="E337" s="176"/>
    </row>
    <row r="338" spans="1:5" ht="13.5">
      <c r="A338" s="353" t="s">
        <v>126</v>
      </c>
      <c r="B338" s="404" t="s">
        <v>127</v>
      </c>
      <c r="C338" s="33">
        <f>SUM(C339)</f>
        <v>18000</v>
      </c>
      <c r="D338" s="115"/>
      <c r="E338" s="115"/>
    </row>
    <row r="339" spans="1:5" ht="13.5" hidden="1">
      <c r="A339" s="107" t="s">
        <v>101</v>
      </c>
      <c r="B339" s="24" t="s">
        <v>9</v>
      </c>
      <c r="C339" s="821">
        <v>18000</v>
      </c>
      <c r="D339" s="115"/>
      <c r="E339" s="26"/>
    </row>
    <row r="340" spans="1:5" ht="13.5">
      <c r="A340" s="353" t="s">
        <v>188</v>
      </c>
      <c r="B340" s="26" t="s">
        <v>146</v>
      </c>
      <c r="C340" s="26">
        <f>SUM(C341)</f>
        <v>7000</v>
      </c>
      <c r="D340" s="115"/>
      <c r="E340" s="26"/>
    </row>
    <row r="341" spans="1:5" ht="13.5" hidden="1">
      <c r="A341" s="107" t="s">
        <v>189</v>
      </c>
      <c r="B341" s="24" t="s">
        <v>56</v>
      </c>
      <c r="C341" s="821">
        <v>7000</v>
      </c>
      <c r="D341" s="115"/>
      <c r="E341" s="26"/>
    </row>
    <row r="342" spans="1:5" ht="13.5">
      <c r="A342" s="107"/>
      <c r="B342" s="24"/>
      <c r="C342" s="24"/>
      <c r="D342" s="115"/>
      <c r="E342" s="26"/>
    </row>
    <row r="343" spans="1:5" ht="13.5">
      <c r="A343" s="107"/>
      <c r="B343" s="24"/>
      <c r="C343" s="24"/>
      <c r="D343" s="115"/>
      <c r="E343" s="26"/>
    </row>
    <row r="344" spans="1:5" ht="13.5">
      <c r="A344" s="335"/>
      <c r="B344" s="107"/>
      <c r="C344" s="254"/>
      <c r="D344" s="107"/>
      <c r="E344" s="333"/>
    </row>
  </sheetData>
  <sheetProtection/>
  <mergeCells count="18">
    <mergeCell ref="A236:B236"/>
    <mergeCell ref="A19:B19"/>
    <mergeCell ref="A42:B42"/>
    <mergeCell ref="A62:B62"/>
    <mergeCell ref="A80:B80"/>
    <mergeCell ref="A84:B84"/>
    <mergeCell ref="A109:B109"/>
    <mergeCell ref="A212:B212"/>
    <mergeCell ref="A259:B259"/>
    <mergeCell ref="A274:B274"/>
    <mergeCell ref="A298:B298"/>
    <mergeCell ref="A319:B319"/>
    <mergeCell ref="A335:B335"/>
    <mergeCell ref="A137:B137"/>
    <mergeCell ref="A156:B156"/>
    <mergeCell ref="A181:B181"/>
    <mergeCell ref="A196:B196"/>
    <mergeCell ref="A217:B217"/>
  </mergeCells>
  <printOptions/>
  <pageMargins left="0.7874015748031497" right="0.1968503937007874" top="0.7874015748031497" bottom="0.7874015748031497" header="0.3937007874015748" footer="0.1968503937007874"/>
  <pageSetup horizontalDpi="600" verticalDpi="600" orientation="portrait" paperSize="9" r:id="rId1"/>
  <headerFooter>
    <oddHeader>&amp;L&amp;"Arial Narrow,Normal"&amp;8Presupuesto Municipal 2016&amp;R&amp;"Arial Narrow,Normal"&amp;8MUNICIPALIDAD DE VILLA MARÍA
Secretaría de Economía y Administración</oddHeader>
    <oddFooter>&amp;C&amp;"Arial Narrow,Normal"&amp;8Secretaría de Prevención Comunitaria y Derechos Humanos
Página &amp;P de &amp;N</oddFooter>
  </headerFooter>
  <rowBreaks count="2" manualBreakCount="2">
    <brk id="96" max="255" man="1"/>
    <brk id="28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20"/>
  <sheetViews>
    <sheetView workbookViewId="0" topLeftCell="A251">
      <selection activeCell="I271" sqref="I271"/>
    </sheetView>
  </sheetViews>
  <sheetFormatPr defaultColWidth="11.421875" defaultRowHeight="12.75"/>
  <cols>
    <col min="1" max="1" width="9.7109375" style="68" customWidth="1"/>
    <col min="2" max="2" width="46.7109375" style="68" customWidth="1"/>
    <col min="3" max="3" width="12.7109375" style="94" customWidth="1"/>
    <col min="4" max="4" width="10.7109375" style="94" customWidth="1"/>
    <col min="5" max="5" width="13.7109375" style="94" customWidth="1"/>
    <col min="6" max="6" width="18.421875" style="68" customWidth="1"/>
    <col min="7" max="7" width="15.421875" style="78" customWidth="1"/>
    <col min="8" max="18" width="11.421875" style="78" customWidth="1"/>
    <col min="19" max="16384" width="11.421875" style="68" customWidth="1"/>
  </cols>
  <sheetData>
    <row r="1" ht="12.75">
      <c r="A1" s="630" t="s">
        <v>847</v>
      </c>
    </row>
    <row r="2" ht="12.75">
      <c r="A2" s="630"/>
    </row>
    <row r="3" ht="13.5" thickBot="1"/>
    <row r="4" spans="1:18" s="631" customFormat="1" ht="13.5">
      <c r="A4" s="72" t="s">
        <v>1155</v>
      </c>
      <c r="B4" s="73"/>
      <c r="C4" s="74"/>
      <c r="D4" s="75" t="s">
        <v>6</v>
      </c>
      <c r="E4" s="76" t="s">
        <v>848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631" customFormat="1" ht="14.25" thickBot="1">
      <c r="A5" s="81"/>
      <c r="B5" s="82" t="s">
        <v>1157</v>
      </c>
      <c r="C5" s="83"/>
      <c r="D5" s="174"/>
      <c r="E5" s="173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5" ht="12.75">
      <c r="A6" s="77" t="s">
        <v>849</v>
      </c>
      <c r="B6" s="78"/>
      <c r="C6" s="79"/>
      <c r="D6" s="79"/>
      <c r="E6" s="80"/>
    </row>
    <row r="7" spans="1:5" ht="13.5" thickBot="1">
      <c r="A7" s="81" t="s">
        <v>850</v>
      </c>
      <c r="B7" s="82"/>
      <c r="C7" s="83"/>
      <c r="D7" s="83"/>
      <c r="E7" s="84"/>
    </row>
    <row r="8" spans="1:18" s="631" customFormat="1" ht="13.5">
      <c r="A8" s="85" t="s">
        <v>1365</v>
      </c>
      <c r="B8" s="86"/>
      <c r="C8" s="87"/>
      <c r="D8" s="87"/>
      <c r="E8" s="88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s="631" customFormat="1" ht="13.5">
      <c r="A9" s="85" t="s">
        <v>851</v>
      </c>
      <c r="B9" s="86"/>
      <c r="C9" s="87"/>
      <c r="D9" s="87"/>
      <c r="E9" s="88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s="631" customFormat="1" ht="13.5">
      <c r="A10" s="85" t="s">
        <v>1421</v>
      </c>
      <c r="B10" s="86"/>
      <c r="C10" s="87"/>
      <c r="D10" s="87"/>
      <c r="E10" s="88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s="631" customFormat="1" ht="14.25" thickBot="1">
      <c r="A11" s="85" t="s">
        <v>16</v>
      </c>
      <c r="B11" s="86"/>
      <c r="C11" s="87"/>
      <c r="D11" s="87"/>
      <c r="E11" s="88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631" customFormat="1" ht="14.25" thickBot="1">
      <c r="A12" s="89" t="s">
        <v>17</v>
      </c>
      <c r="B12" s="90"/>
      <c r="C12" s="91"/>
      <c r="D12" s="92"/>
      <c r="E12" s="93">
        <f>C14+C37+C58+C78+C84</f>
        <v>21067094</v>
      </c>
      <c r="F12" s="327"/>
      <c r="G12" s="87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318" customFormat="1" ht="14.25" thickBot="1">
      <c r="A13" s="95"/>
      <c r="B13" s="95"/>
      <c r="C13" s="96"/>
      <c r="D13" s="96"/>
      <c r="E13" s="9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318" customFormat="1" ht="14.25" thickBot="1">
      <c r="A14" s="961" t="s">
        <v>1</v>
      </c>
      <c r="B14" s="962"/>
      <c r="C14" s="259">
        <f>C15+C22+C29</f>
        <v>20080764</v>
      </c>
      <c r="D14" s="96"/>
      <c r="E14" s="632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6" s="57" customFormat="1" ht="12.75" customHeight="1">
      <c r="A15" s="12" t="s">
        <v>107</v>
      </c>
      <c r="B15" s="286" t="s">
        <v>108</v>
      </c>
      <c r="C15" s="33">
        <f>SUM(C16:C21)</f>
        <v>10222330</v>
      </c>
      <c r="D15" s="23"/>
      <c r="E15" s="187"/>
      <c r="F15" s="135"/>
    </row>
    <row r="16" spans="1:18" s="9" customFormat="1" ht="12.75" customHeight="1" hidden="1">
      <c r="A16" s="13" t="s">
        <v>27</v>
      </c>
      <c r="B16" s="25" t="s">
        <v>24</v>
      </c>
      <c r="C16" s="821">
        <v>7463041</v>
      </c>
      <c r="D16" s="23"/>
      <c r="E16" s="26"/>
      <c r="F16" s="132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s="9" customFormat="1" ht="12.75" customHeight="1" hidden="1">
      <c r="A17" s="13" t="s">
        <v>28</v>
      </c>
      <c r="B17" s="25" t="s">
        <v>26</v>
      </c>
      <c r="C17" s="821">
        <f>1540274+333801</f>
        <v>1874075</v>
      </c>
      <c r="D17" s="23"/>
      <c r="E17" s="26"/>
      <c r="F17" s="132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s="10" customFormat="1" ht="12.75" customHeight="1" hidden="1">
      <c r="A18" s="13" t="s">
        <v>29</v>
      </c>
      <c r="B18" s="25" t="s">
        <v>86</v>
      </c>
      <c r="C18" s="821">
        <f>25000+311072+10452</f>
        <v>346524</v>
      </c>
      <c r="D18" s="23"/>
      <c r="E18" s="26"/>
      <c r="F18" s="132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</row>
    <row r="19" spans="1:18" s="10" customFormat="1" ht="12.75" customHeight="1" hidden="1">
      <c r="A19" s="13" t="s">
        <v>30</v>
      </c>
      <c r="B19" s="25" t="s">
        <v>87</v>
      </c>
      <c r="C19" s="821">
        <f>21400</f>
        <v>21400</v>
      </c>
      <c r="D19" s="23"/>
      <c r="E19" s="26"/>
      <c r="F19" s="132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</row>
    <row r="20" spans="1:18" s="10" customFormat="1" ht="12.75" customHeight="1" hidden="1">
      <c r="A20" s="13" t="s">
        <v>31</v>
      </c>
      <c r="B20" s="25" t="s">
        <v>25</v>
      </c>
      <c r="C20" s="821">
        <f>6300+85596</f>
        <v>91896</v>
      </c>
      <c r="D20" s="23"/>
      <c r="E20" s="26"/>
      <c r="F20" s="132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</row>
    <row r="21" spans="1:18" s="10" customFormat="1" ht="12.75" customHeight="1" hidden="1">
      <c r="A21" s="13" t="s">
        <v>32</v>
      </c>
      <c r="B21" s="25" t="s">
        <v>23</v>
      </c>
      <c r="C21" s="821">
        <f>60810.45+47715.7+73914.89+86510.18+60963.1+95479.02+0.66</f>
        <v>425393.99999999994</v>
      </c>
      <c r="D21" s="23"/>
      <c r="E21" s="26"/>
      <c r="F21" s="132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</row>
    <row r="22" spans="1:18" s="10" customFormat="1" ht="12.75" customHeight="1">
      <c r="A22" s="12" t="s">
        <v>109</v>
      </c>
      <c r="B22" s="33" t="s">
        <v>110</v>
      </c>
      <c r="C22" s="33">
        <f>SUM(C23:C28)</f>
        <v>4021453</v>
      </c>
      <c r="D22" s="23"/>
      <c r="E22" s="26"/>
      <c r="F22" s="132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</row>
    <row r="23" spans="1:18" s="10" customFormat="1" ht="12.75" customHeight="1" hidden="1">
      <c r="A23" s="13" t="s">
        <v>34</v>
      </c>
      <c r="B23" s="25" t="s">
        <v>88</v>
      </c>
      <c r="C23" s="821">
        <v>3108932</v>
      </c>
      <c r="D23" s="23"/>
      <c r="E23" s="26"/>
      <c r="F23" s="133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</row>
    <row r="24" spans="1:18" s="9" customFormat="1" ht="12.75" customHeight="1" hidden="1">
      <c r="A24" s="13" t="s">
        <v>35</v>
      </c>
      <c r="B24" s="25" t="s">
        <v>89</v>
      </c>
      <c r="C24" s="821">
        <f>643908+142498</f>
        <v>786406</v>
      </c>
      <c r="D24" s="23"/>
      <c r="E24" s="26"/>
      <c r="F24" s="70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s="9" customFormat="1" ht="12.75" customHeight="1" hidden="1">
      <c r="A25" s="13" t="s">
        <v>36</v>
      </c>
      <c r="B25" s="25" t="s">
        <v>90</v>
      </c>
      <c r="C25" s="821">
        <f>121436+4676</f>
        <v>126112</v>
      </c>
      <c r="D25" s="23"/>
      <c r="E25" s="26"/>
      <c r="F25" s="132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 s="10" customFormat="1" ht="12.75" customHeight="1" hidden="1">
      <c r="A26" s="13" t="s">
        <v>37</v>
      </c>
      <c r="B26" s="25" t="s">
        <v>91</v>
      </c>
      <c r="C26" s="821">
        <v>1</v>
      </c>
      <c r="D26" s="23"/>
      <c r="E26" s="26"/>
      <c r="F26" s="132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</row>
    <row r="27" spans="1:18" s="10" customFormat="1" ht="12.75" customHeight="1" hidden="1">
      <c r="A27" s="13" t="s">
        <v>38</v>
      </c>
      <c r="B27" s="25" t="s">
        <v>33</v>
      </c>
      <c r="C27" s="821">
        <v>1</v>
      </c>
      <c r="D27" s="23"/>
      <c r="E27" s="26"/>
      <c r="F27" s="132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</row>
    <row r="28" spans="1:18" s="10" customFormat="1" ht="12.75" customHeight="1" hidden="1">
      <c r="A28" s="13" t="s">
        <v>93</v>
      </c>
      <c r="B28" s="25" t="s">
        <v>92</v>
      </c>
      <c r="C28" s="821">
        <v>1</v>
      </c>
      <c r="D28" s="23"/>
      <c r="E28" s="26"/>
      <c r="F28" s="133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18" s="10" customFormat="1" ht="12.75" customHeight="1">
      <c r="A29" s="12" t="s">
        <v>111</v>
      </c>
      <c r="B29" s="33" t="s">
        <v>112</v>
      </c>
      <c r="C29" s="33">
        <f>SUM(C30:C35)</f>
        <v>5836981</v>
      </c>
      <c r="D29" s="23"/>
      <c r="E29" s="26"/>
      <c r="F29" s="133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1:18" s="9" customFormat="1" ht="12.75" customHeight="1" hidden="1">
      <c r="A30" s="13" t="s">
        <v>43</v>
      </c>
      <c r="B30" s="25" t="s">
        <v>39</v>
      </c>
      <c r="C30" s="821">
        <v>4422759</v>
      </c>
      <c r="D30" s="23"/>
      <c r="E30" s="26"/>
      <c r="F30" s="132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s="9" customFormat="1" ht="12.75" customHeight="1" hidden="1">
      <c r="A31" s="13" t="s">
        <v>44</v>
      </c>
      <c r="B31" s="25" t="s">
        <v>41</v>
      </c>
      <c r="C31" s="821">
        <f>924775+193233</f>
        <v>1118008</v>
      </c>
      <c r="D31" s="23"/>
      <c r="E31" s="26"/>
      <c r="F31" s="132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s="10" customFormat="1" ht="12.75" customHeight="1" hidden="1">
      <c r="A32" s="13" t="s">
        <v>45</v>
      </c>
      <c r="B32" s="25" t="s">
        <v>94</v>
      </c>
      <c r="C32" s="821">
        <f>184445+8251</f>
        <v>192696</v>
      </c>
      <c r="D32" s="23"/>
      <c r="E32" s="26"/>
      <c r="F32" s="132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s="10" customFormat="1" ht="12.75" customHeight="1" hidden="1">
      <c r="A33" s="13" t="s">
        <v>46</v>
      </c>
      <c r="B33" s="25" t="s">
        <v>95</v>
      </c>
      <c r="C33" s="821">
        <v>1</v>
      </c>
      <c r="D33" s="23"/>
      <c r="E33" s="26"/>
      <c r="F33" s="132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pans="1:18" s="10" customFormat="1" ht="12.75" customHeight="1" hidden="1">
      <c r="A34" s="13" t="s">
        <v>47</v>
      </c>
      <c r="B34" s="25" t="s">
        <v>40</v>
      </c>
      <c r="C34" s="821">
        <f>3500+100016</f>
        <v>103516</v>
      </c>
      <c r="D34" s="23"/>
      <c r="E34" s="26"/>
      <c r="F34" s="132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18" s="10" customFormat="1" ht="12.75" customHeight="1" hidden="1">
      <c r="A35" s="13" t="s">
        <v>48</v>
      </c>
      <c r="B35" s="25" t="s">
        <v>42</v>
      </c>
      <c r="C35" s="821">
        <v>1</v>
      </c>
      <c r="D35" s="23"/>
      <c r="E35" s="26"/>
      <c r="F35" s="132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8" s="10" customFormat="1" ht="12.75" customHeight="1" thickBot="1">
      <c r="A36" s="13"/>
      <c r="B36" s="25"/>
      <c r="C36" s="25"/>
      <c r="D36" s="23"/>
      <c r="E36" s="26"/>
      <c r="F36" s="132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1:18" s="100" customFormat="1" ht="14.25" thickBot="1">
      <c r="A37" s="955" t="s">
        <v>2</v>
      </c>
      <c r="B37" s="983"/>
      <c r="C37" s="97">
        <f>C38+C40+C43+C45+C47+C51+C53</f>
        <v>171610</v>
      </c>
      <c r="D37" s="102"/>
      <c r="G37" s="28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7" s="78" customFormat="1" ht="13.5">
      <c r="A38" s="12" t="s">
        <v>113</v>
      </c>
      <c r="B38" s="286" t="s">
        <v>852</v>
      </c>
      <c r="C38" s="96">
        <f>SUM(C39)</f>
        <v>21900</v>
      </c>
      <c r="D38" s="79"/>
      <c r="G38" s="79"/>
    </row>
    <row r="39" spans="1:7" s="57" customFormat="1" ht="13.5" customHeight="1" hidden="1">
      <c r="A39" s="13" t="s">
        <v>50</v>
      </c>
      <c r="B39" s="9" t="s">
        <v>49</v>
      </c>
      <c r="C39" s="821">
        <v>21900</v>
      </c>
      <c r="G39" s="690"/>
    </row>
    <row r="40" spans="1:7" s="57" customFormat="1" ht="13.5" customHeight="1">
      <c r="A40" s="12" t="s">
        <v>115</v>
      </c>
      <c r="B40" s="791" t="s">
        <v>116</v>
      </c>
      <c r="C40" s="33">
        <f>SUM(C41:C42)</f>
        <v>18500</v>
      </c>
      <c r="D40" s="23"/>
      <c r="E40" s="33"/>
      <c r="G40" s="71"/>
    </row>
    <row r="41" spans="1:7" s="57" customFormat="1" ht="13.5" customHeight="1" hidden="1">
      <c r="A41" s="13" t="s">
        <v>72</v>
      </c>
      <c r="B41" s="9" t="s">
        <v>73</v>
      </c>
      <c r="C41" s="821">
        <v>5500</v>
      </c>
      <c r="D41" s="23"/>
      <c r="E41" s="96"/>
      <c r="G41" s="71"/>
    </row>
    <row r="42" spans="1:7" s="57" customFormat="1" ht="13.5" customHeight="1" hidden="1">
      <c r="A42" s="13" t="s">
        <v>96</v>
      </c>
      <c r="B42" s="9" t="s">
        <v>71</v>
      </c>
      <c r="C42" s="821">
        <v>13000</v>
      </c>
      <c r="D42" s="23"/>
      <c r="E42" s="96"/>
      <c r="G42" s="71"/>
    </row>
    <row r="43" spans="1:7" s="57" customFormat="1" ht="13.5" customHeight="1">
      <c r="A43" s="12" t="s">
        <v>117</v>
      </c>
      <c r="B43" s="791" t="s">
        <v>118</v>
      </c>
      <c r="C43" s="33">
        <f>SUM(C44)</f>
        <v>15840</v>
      </c>
      <c r="D43" s="23"/>
      <c r="E43" s="96"/>
      <c r="G43" s="71"/>
    </row>
    <row r="44" spans="1:18" s="9" customFormat="1" ht="13.5" customHeight="1" hidden="1">
      <c r="A44" s="13" t="s">
        <v>51</v>
      </c>
      <c r="B44" s="24" t="s">
        <v>52</v>
      </c>
      <c r="C44" s="821">
        <v>15840</v>
      </c>
      <c r="D44" s="115"/>
      <c r="E44" s="96"/>
      <c r="F44" s="140"/>
      <c r="G44" s="71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s="9" customFormat="1" ht="13.5" customHeight="1">
      <c r="A45" s="12" t="s">
        <v>219</v>
      </c>
      <c r="B45" s="791" t="s">
        <v>218</v>
      </c>
      <c r="C45" s="26">
        <f>SUM(C46)</f>
        <v>70300</v>
      </c>
      <c r="D45" s="115"/>
      <c r="E45" s="96"/>
      <c r="F45" s="140"/>
      <c r="G45" s="71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s="100" customFormat="1" ht="13.5" hidden="1">
      <c r="A46" s="13" t="s">
        <v>217</v>
      </c>
      <c r="B46" s="9" t="s">
        <v>252</v>
      </c>
      <c r="C46" s="822">
        <v>70300</v>
      </c>
      <c r="G46" s="288"/>
      <c r="H46" s="78"/>
      <c r="I46" s="96"/>
      <c r="J46" s="78"/>
      <c r="K46" s="78"/>
      <c r="L46" s="78"/>
      <c r="M46" s="78"/>
      <c r="N46" s="78"/>
      <c r="O46" s="78"/>
      <c r="P46" s="78"/>
      <c r="Q46" s="78"/>
      <c r="R46" s="78"/>
    </row>
    <row r="47" spans="1:18" s="100" customFormat="1" ht="13.5">
      <c r="A47" s="353" t="s">
        <v>129</v>
      </c>
      <c r="B47" s="26" t="s">
        <v>119</v>
      </c>
      <c r="C47" s="811">
        <f>SUM(C48:C50)</f>
        <v>15770</v>
      </c>
      <c r="D47" s="102"/>
      <c r="E47" s="96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s="100" customFormat="1" ht="13.5" hidden="1">
      <c r="A48" s="107" t="s">
        <v>214</v>
      </c>
      <c r="B48" s="24" t="s">
        <v>213</v>
      </c>
      <c r="C48" s="822">
        <v>5220</v>
      </c>
      <c r="D48" s="79"/>
      <c r="E48" s="10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s="100" customFormat="1" ht="13.5" hidden="1">
      <c r="A49" s="107" t="s">
        <v>168</v>
      </c>
      <c r="B49" s="24" t="s">
        <v>74</v>
      </c>
      <c r="C49" s="822">
        <v>4350</v>
      </c>
      <c r="D49" s="102"/>
      <c r="E49" s="102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s="100" customFormat="1" ht="13.5" hidden="1">
      <c r="A50" s="107" t="s">
        <v>212</v>
      </c>
      <c r="B50" s="24" t="s">
        <v>211</v>
      </c>
      <c r="C50" s="822">
        <v>6200</v>
      </c>
      <c r="D50" s="102"/>
      <c r="E50" s="96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1:18" s="100" customFormat="1" ht="13.5">
      <c r="A51" s="353" t="s">
        <v>134</v>
      </c>
      <c r="B51" s="26" t="s">
        <v>133</v>
      </c>
      <c r="C51" s="811">
        <f>SUM(C52)</f>
        <v>16200</v>
      </c>
      <c r="D51" s="102"/>
      <c r="E51" s="96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1:18" s="9" customFormat="1" ht="13.5" customHeight="1" hidden="1">
      <c r="A52" s="107" t="s">
        <v>103</v>
      </c>
      <c r="B52" s="24" t="s">
        <v>78</v>
      </c>
      <c r="C52" s="822">
        <v>16200</v>
      </c>
      <c r="D52" s="102"/>
      <c r="E52" s="102"/>
      <c r="F52" s="100"/>
      <c r="G52" s="78"/>
      <c r="H52" s="78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s="9" customFormat="1" ht="13.5" customHeight="1">
      <c r="A53" s="353" t="s">
        <v>169</v>
      </c>
      <c r="B53" s="26" t="s">
        <v>135</v>
      </c>
      <c r="C53" s="811">
        <f>SUM(C54:C56)</f>
        <v>13100</v>
      </c>
      <c r="D53" s="102"/>
      <c r="E53" s="102"/>
      <c r="F53" s="100"/>
      <c r="G53" s="78"/>
      <c r="H53" s="78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s="100" customFormat="1" ht="13.5" hidden="1">
      <c r="A54" s="107" t="s">
        <v>170</v>
      </c>
      <c r="B54" s="24" t="s">
        <v>70</v>
      </c>
      <c r="C54" s="822">
        <v>4100</v>
      </c>
      <c r="D54" s="102"/>
      <c r="E54" s="10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1:18" s="100" customFormat="1" ht="13.5" hidden="1">
      <c r="A55" s="107" t="s">
        <v>171</v>
      </c>
      <c r="B55" s="24" t="s">
        <v>75</v>
      </c>
      <c r="C55" s="821">
        <v>6000</v>
      </c>
      <c r="D55" s="115"/>
      <c r="E55" s="26"/>
      <c r="F55" s="286"/>
      <c r="G55" s="71"/>
      <c r="H55" s="109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1:18" s="100" customFormat="1" ht="13.5" hidden="1">
      <c r="A56" s="107" t="s">
        <v>173</v>
      </c>
      <c r="B56" s="24" t="s">
        <v>135</v>
      </c>
      <c r="C56" s="822">
        <v>3000</v>
      </c>
      <c r="D56" s="102"/>
      <c r="E56" s="10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1:18" s="100" customFormat="1" ht="14.25" thickBot="1">
      <c r="A57" s="107"/>
      <c r="B57" s="24"/>
      <c r="C57" s="101"/>
      <c r="D57" s="102"/>
      <c r="E57" s="102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1:18" s="100" customFormat="1" ht="14.25" thickBot="1">
      <c r="A58" s="957" t="s">
        <v>3</v>
      </c>
      <c r="B58" s="984"/>
      <c r="C58" s="98">
        <f>C59+C61+C65+C68+C71+C73</f>
        <v>574220</v>
      </c>
      <c r="D58" s="102"/>
      <c r="F58" s="138"/>
      <c r="G58" s="28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1:6" s="78" customFormat="1" ht="13.5">
      <c r="A59" s="95" t="s">
        <v>120</v>
      </c>
      <c r="B59" s="286" t="s">
        <v>121</v>
      </c>
      <c r="C59" s="96">
        <f>SUM(C60)</f>
        <v>8550</v>
      </c>
      <c r="D59" s="79"/>
      <c r="F59" s="23"/>
    </row>
    <row r="60" spans="1:18" s="9" customFormat="1" ht="13.5" customHeight="1" hidden="1">
      <c r="A60" s="86" t="s">
        <v>57</v>
      </c>
      <c r="B60" s="86" t="s">
        <v>18</v>
      </c>
      <c r="C60" s="821">
        <v>8550</v>
      </c>
      <c r="F60" s="140"/>
      <c r="G60" s="252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8" s="78" customFormat="1" ht="13.5">
      <c r="A61" s="95" t="s">
        <v>130</v>
      </c>
      <c r="B61" s="95" t="s">
        <v>853</v>
      </c>
      <c r="C61" s="96">
        <f>SUM(C62:C64)</f>
        <v>43800</v>
      </c>
      <c r="F61" s="79"/>
      <c r="G61" s="87"/>
      <c r="H61" s="79"/>
    </row>
    <row r="62" spans="1:8" s="78" customFormat="1" ht="13.5" hidden="1">
      <c r="A62" s="86" t="s">
        <v>300</v>
      </c>
      <c r="B62" s="57" t="s">
        <v>301</v>
      </c>
      <c r="C62" s="822">
        <f>23400+1500</f>
        <v>24900</v>
      </c>
      <c r="F62" s="79"/>
      <c r="G62" s="87"/>
      <c r="H62" s="79"/>
    </row>
    <row r="63" spans="1:18" s="100" customFormat="1" ht="13.5" hidden="1">
      <c r="A63" s="86" t="s">
        <v>207</v>
      </c>
      <c r="B63" s="86" t="s">
        <v>397</v>
      </c>
      <c r="C63" s="822">
        <v>8400</v>
      </c>
      <c r="F63" s="79"/>
      <c r="G63" s="87"/>
      <c r="H63" s="79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s="100" customFormat="1" ht="13.5" hidden="1">
      <c r="A64" s="86" t="s">
        <v>148</v>
      </c>
      <c r="B64" s="86" t="s">
        <v>77</v>
      </c>
      <c r="C64" s="822">
        <v>10500</v>
      </c>
      <c r="G64" s="79"/>
      <c r="H64" s="79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1:18" s="9" customFormat="1" ht="13.5" customHeight="1">
      <c r="A65" s="353" t="s">
        <v>122</v>
      </c>
      <c r="B65" s="95" t="s">
        <v>175</v>
      </c>
      <c r="C65" s="33">
        <f>SUM(C66:C67)</f>
        <v>180675</v>
      </c>
      <c r="F65" s="140"/>
      <c r="G65" s="252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8" s="78" customFormat="1" ht="13.5" hidden="1">
      <c r="A66" s="107" t="s">
        <v>150</v>
      </c>
      <c r="B66" s="86" t="s">
        <v>149</v>
      </c>
      <c r="C66" s="822">
        <v>5400</v>
      </c>
      <c r="G66" s="96"/>
      <c r="H66" s="79"/>
    </row>
    <row r="67" spans="1:8" s="78" customFormat="1" ht="13.5" hidden="1">
      <c r="A67" s="107" t="s">
        <v>53</v>
      </c>
      <c r="B67" s="25" t="s">
        <v>97</v>
      </c>
      <c r="C67" s="822">
        <v>175275</v>
      </c>
      <c r="F67" s="79"/>
      <c r="G67" s="87"/>
      <c r="H67" s="79"/>
    </row>
    <row r="68" spans="1:8" s="78" customFormat="1" ht="13.5">
      <c r="A68" s="353" t="s">
        <v>123</v>
      </c>
      <c r="B68" s="33" t="s">
        <v>124</v>
      </c>
      <c r="C68" s="96">
        <f>SUM(C69:C70)</f>
        <v>14500</v>
      </c>
      <c r="F68" s="79"/>
      <c r="G68" s="87"/>
      <c r="H68" s="79"/>
    </row>
    <row r="69" spans="1:8" s="78" customFormat="1" ht="13.5" hidden="1">
      <c r="A69" s="107" t="s">
        <v>58</v>
      </c>
      <c r="B69" s="86" t="s">
        <v>59</v>
      </c>
      <c r="C69" s="822">
        <v>10000</v>
      </c>
      <c r="F69" s="79"/>
      <c r="G69" s="87"/>
      <c r="H69" s="79"/>
    </row>
    <row r="70" spans="1:8" s="78" customFormat="1" ht="13.5" hidden="1">
      <c r="A70" s="107" t="s">
        <v>98</v>
      </c>
      <c r="B70" s="25" t="s">
        <v>69</v>
      </c>
      <c r="C70" s="822">
        <v>4500</v>
      </c>
      <c r="F70" s="79"/>
      <c r="G70" s="87"/>
      <c r="H70" s="79"/>
    </row>
    <row r="71" spans="1:8" s="78" customFormat="1" ht="13.5">
      <c r="A71" s="353" t="s">
        <v>143</v>
      </c>
      <c r="B71" s="95" t="s">
        <v>61</v>
      </c>
      <c r="C71" s="96">
        <f>SUM(C72)</f>
        <v>5655</v>
      </c>
      <c r="F71" s="79"/>
      <c r="G71" s="87"/>
      <c r="H71" s="79"/>
    </row>
    <row r="72" spans="1:8" s="78" customFormat="1" ht="13.5" hidden="1">
      <c r="A72" s="107" t="s">
        <v>60</v>
      </c>
      <c r="B72" s="86" t="s">
        <v>61</v>
      </c>
      <c r="C72" s="822">
        <v>5655</v>
      </c>
      <c r="F72" s="79"/>
      <c r="G72" s="87"/>
      <c r="H72" s="79"/>
    </row>
    <row r="73" spans="1:8" s="78" customFormat="1" ht="13.5">
      <c r="A73" s="353" t="s">
        <v>125</v>
      </c>
      <c r="B73" s="33" t="s">
        <v>8</v>
      </c>
      <c r="C73" s="96">
        <f>SUM(C74:C76)</f>
        <v>321040</v>
      </c>
      <c r="F73" s="79"/>
      <c r="G73" s="87"/>
      <c r="H73" s="79"/>
    </row>
    <row r="74" spans="1:7" s="78" customFormat="1" ht="13.5" hidden="1">
      <c r="A74" s="107" t="s">
        <v>102</v>
      </c>
      <c r="B74" s="25" t="s">
        <v>8</v>
      </c>
      <c r="C74" s="822">
        <v>267540</v>
      </c>
      <c r="F74" s="79"/>
      <c r="G74" s="79"/>
    </row>
    <row r="75" spans="1:8" s="78" customFormat="1" ht="13.5" hidden="1">
      <c r="A75" s="107" t="s">
        <v>854</v>
      </c>
      <c r="B75" s="25" t="s">
        <v>54</v>
      </c>
      <c r="C75" s="822">
        <v>36400</v>
      </c>
      <c r="F75" s="79"/>
      <c r="G75" s="96"/>
      <c r="H75" s="79"/>
    </row>
    <row r="76" spans="1:18" s="100" customFormat="1" ht="13.5" hidden="1">
      <c r="A76" s="107" t="s">
        <v>100</v>
      </c>
      <c r="B76" s="25" t="s">
        <v>7</v>
      </c>
      <c r="C76" s="822">
        <v>17100</v>
      </c>
      <c r="F76" s="79"/>
      <c r="G76" s="25"/>
      <c r="H76" s="28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1:18" s="100" customFormat="1" ht="14.25" thickBot="1">
      <c r="A77" s="107"/>
      <c r="B77" s="25"/>
      <c r="C77" s="87"/>
      <c r="D77" s="24"/>
      <c r="E77" s="288"/>
      <c r="F77" s="79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1:18" s="100" customFormat="1" ht="14.25" thickBot="1">
      <c r="A78" s="963" t="s">
        <v>5</v>
      </c>
      <c r="B78" s="985"/>
      <c r="C78" s="326">
        <f>C79</f>
        <v>190000</v>
      </c>
      <c r="D78" s="102"/>
      <c r="E78" s="102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1:5" s="78" customFormat="1" ht="13.5">
      <c r="A79" s="353" t="s">
        <v>139</v>
      </c>
      <c r="B79" s="286" t="s">
        <v>140</v>
      </c>
      <c r="C79" s="96">
        <f>SUM(C80:C82)</f>
        <v>190000</v>
      </c>
      <c r="D79" s="79"/>
      <c r="E79" s="79"/>
    </row>
    <row r="80" spans="1:5" s="78" customFormat="1" ht="13.5" hidden="1">
      <c r="A80" s="107" t="s">
        <v>363</v>
      </c>
      <c r="B80" s="140" t="s">
        <v>364</v>
      </c>
      <c r="C80" s="822">
        <v>16000</v>
      </c>
      <c r="D80" s="79"/>
      <c r="E80" s="79"/>
    </row>
    <row r="81" spans="1:5" s="78" customFormat="1" ht="13.5" hidden="1">
      <c r="A81" s="107" t="s">
        <v>855</v>
      </c>
      <c r="B81" s="140" t="s">
        <v>856</v>
      </c>
      <c r="C81" s="822">
        <v>14000</v>
      </c>
      <c r="D81" s="79"/>
      <c r="E81" s="79"/>
    </row>
    <row r="82" spans="1:18" s="100" customFormat="1" ht="13.5" hidden="1">
      <c r="A82" s="107" t="s">
        <v>157</v>
      </c>
      <c r="B82" s="25" t="s">
        <v>12</v>
      </c>
      <c r="C82" s="821">
        <v>160000</v>
      </c>
      <c r="E82" s="102"/>
      <c r="G82" s="79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1:18" s="100" customFormat="1" ht="14.25" thickBot="1">
      <c r="A83" s="107"/>
      <c r="B83" s="25"/>
      <c r="C83" s="25"/>
      <c r="E83" s="102"/>
      <c r="G83" s="79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1:18" s="100" customFormat="1" ht="14.25" thickBot="1">
      <c r="A84" s="959" t="s">
        <v>4</v>
      </c>
      <c r="B84" s="986"/>
      <c r="C84" s="103">
        <f>C85+C87+C89+C91</f>
        <v>50500</v>
      </c>
      <c r="D84" s="102"/>
      <c r="E84" s="102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1:5" s="78" customFormat="1" ht="13.5">
      <c r="A85" s="353" t="s">
        <v>201</v>
      </c>
      <c r="B85" s="286" t="s">
        <v>200</v>
      </c>
      <c r="C85" s="96">
        <f>SUM(C86:C86)</f>
        <v>16800</v>
      </c>
      <c r="D85" s="79"/>
      <c r="E85" s="79"/>
    </row>
    <row r="86" spans="1:18" s="9" customFormat="1" ht="13.5" customHeight="1" hidden="1">
      <c r="A86" s="107" t="s">
        <v>199</v>
      </c>
      <c r="B86" s="24" t="s">
        <v>611</v>
      </c>
      <c r="C86" s="821">
        <v>16800</v>
      </c>
      <c r="D86" s="115"/>
      <c r="E86" s="26"/>
      <c r="F86" s="57"/>
      <c r="G86" s="108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s="9" customFormat="1" ht="13.5" customHeight="1">
      <c r="A87" s="353" t="s">
        <v>126</v>
      </c>
      <c r="B87" s="26" t="s">
        <v>127</v>
      </c>
      <c r="C87" s="26">
        <f>SUM(C88)</f>
        <v>12200</v>
      </c>
      <c r="D87" s="115"/>
      <c r="E87" s="26"/>
      <c r="F87" s="57"/>
      <c r="G87" s="108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s="9" customFormat="1" ht="13.5" customHeight="1" hidden="1">
      <c r="A88" s="107" t="s">
        <v>101</v>
      </c>
      <c r="B88" s="24" t="s">
        <v>152</v>
      </c>
      <c r="C88" s="821">
        <v>12200</v>
      </c>
      <c r="D88" s="115"/>
      <c r="E88" s="26"/>
      <c r="F88" s="140"/>
      <c r="G88" s="71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s="9" customFormat="1" ht="13.5" customHeight="1">
      <c r="A89" s="353" t="s">
        <v>142</v>
      </c>
      <c r="B89" s="26" t="s">
        <v>55</v>
      </c>
      <c r="C89" s="33">
        <f>SUM(C90)</f>
        <v>18000</v>
      </c>
      <c r="D89" s="115"/>
      <c r="E89" s="26"/>
      <c r="F89" s="140"/>
      <c r="G89" s="71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s="9" customFormat="1" ht="13.5" customHeight="1" hidden="1">
      <c r="A90" s="107" t="s">
        <v>185</v>
      </c>
      <c r="B90" s="24" t="s">
        <v>55</v>
      </c>
      <c r="C90" s="821">
        <v>18000</v>
      </c>
      <c r="D90" s="115"/>
      <c r="E90" s="26"/>
      <c r="F90" s="57"/>
      <c r="G90" s="108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s="9" customFormat="1" ht="13.5" customHeight="1">
      <c r="A91" s="353" t="s">
        <v>188</v>
      </c>
      <c r="B91" s="26" t="s">
        <v>145</v>
      </c>
      <c r="C91" s="26">
        <f>SUM(C92)</f>
        <v>3500</v>
      </c>
      <c r="D91" s="115"/>
      <c r="E91" s="26"/>
      <c r="F91" s="57"/>
      <c r="G91" s="108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s="9" customFormat="1" ht="13.5" customHeight="1" hidden="1">
      <c r="A92" s="107" t="s">
        <v>189</v>
      </c>
      <c r="B92" s="24" t="s">
        <v>56</v>
      </c>
      <c r="C92" s="821">
        <v>3500</v>
      </c>
      <c r="D92" s="115"/>
      <c r="E92" s="26"/>
      <c r="F92" s="140"/>
      <c r="G92" s="71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s="100" customFormat="1" ht="13.5">
      <c r="A93" s="105"/>
      <c r="B93" s="105"/>
      <c r="C93" s="101"/>
      <c r="D93" s="102"/>
      <c r="E93" s="102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1:3" ht="14.25" thickBot="1">
      <c r="A94" s="105"/>
      <c r="B94" s="105"/>
      <c r="C94" s="101"/>
    </row>
    <row r="95" spans="1:5" ht="12.75">
      <c r="A95" s="72" t="s">
        <v>857</v>
      </c>
      <c r="B95" s="73"/>
      <c r="C95" s="633"/>
      <c r="D95" s="75" t="s">
        <v>6</v>
      </c>
      <c r="E95" s="76" t="s">
        <v>858</v>
      </c>
    </row>
    <row r="96" spans="1:5" ht="13.5" thickBot="1">
      <c r="A96" s="81"/>
      <c r="B96" s="82"/>
      <c r="C96" s="84"/>
      <c r="D96" s="634"/>
      <c r="E96" s="635"/>
    </row>
    <row r="97" spans="1:5" ht="12.75">
      <c r="A97" s="72" t="s">
        <v>859</v>
      </c>
      <c r="B97" s="73"/>
      <c r="C97" s="74"/>
      <c r="D97" s="74"/>
      <c r="E97" s="633"/>
    </row>
    <row r="98" spans="1:5" ht="13.5" thickBot="1">
      <c r="A98" s="81" t="s">
        <v>1398</v>
      </c>
      <c r="B98" s="82"/>
      <c r="C98" s="83"/>
      <c r="D98" s="636"/>
      <c r="E98" s="173"/>
    </row>
    <row r="99" spans="1:18" s="631" customFormat="1" ht="13.5">
      <c r="A99" s="637" t="s">
        <v>1365</v>
      </c>
      <c r="B99" s="241"/>
      <c r="C99" s="240"/>
      <c r="D99" s="240"/>
      <c r="E99" s="239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5" ht="13.5">
      <c r="A100" s="85" t="s">
        <v>851</v>
      </c>
      <c r="B100" s="86"/>
      <c r="C100" s="87"/>
      <c r="D100" s="87"/>
      <c r="E100" s="88"/>
    </row>
    <row r="101" spans="1:5" ht="13.5">
      <c r="A101" s="85" t="s">
        <v>1421</v>
      </c>
      <c r="B101" s="86"/>
      <c r="C101" s="87"/>
      <c r="D101" s="87"/>
      <c r="E101" s="88"/>
    </row>
    <row r="102" spans="1:5" ht="14.25" thickBot="1">
      <c r="A102" s="238" t="s">
        <v>16</v>
      </c>
      <c r="B102" s="237"/>
      <c r="C102" s="236"/>
      <c r="D102" s="236"/>
      <c r="E102" s="235"/>
    </row>
    <row r="103" spans="1:7" ht="14.25" thickBot="1">
      <c r="A103" s="89" t="s">
        <v>17</v>
      </c>
      <c r="B103" s="638"/>
      <c r="C103" s="91"/>
      <c r="D103" s="92"/>
      <c r="E103" s="93">
        <f>C105+C121+C137</f>
        <v>4301901</v>
      </c>
      <c r="F103" s="94"/>
      <c r="G103" s="79"/>
    </row>
    <row r="104" spans="1:5" ht="14.25" thickBot="1">
      <c r="A104" s="95"/>
      <c r="B104" s="95"/>
      <c r="C104" s="96"/>
      <c r="D104" s="96"/>
      <c r="E104" s="632"/>
    </row>
    <row r="105" spans="1:6" ht="14.25" thickBot="1">
      <c r="A105" s="955" t="s">
        <v>2</v>
      </c>
      <c r="B105" s="956"/>
      <c r="C105" s="97">
        <f>C106+C108+C111+C115+C117</f>
        <v>151800</v>
      </c>
      <c r="E105" s="330"/>
      <c r="F105" s="330"/>
    </row>
    <row r="106" spans="1:18" s="304" customFormat="1" ht="13.5">
      <c r="A106" s="12" t="s">
        <v>113</v>
      </c>
      <c r="B106" s="286" t="s">
        <v>852</v>
      </c>
      <c r="C106" s="816">
        <f>SUM(C107)</f>
        <v>70200</v>
      </c>
      <c r="E106" s="130"/>
      <c r="F106" s="639"/>
      <c r="G106" s="135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</row>
    <row r="107" spans="1:7" s="57" customFormat="1" ht="13.5" customHeight="1" hidden="1">
      <c r="A107" s="13" t="s">
        <v>50</v>
      </c>
      <c r="B107" s="9" t="s">
        <v>49</v>
      </c>
      <c r="C107" s="821">
        <v>70200</v>
      </c>
      <c r="G107" s="25"/>
    </row>
    <row r="108" spans="1:7" s="57" customFormat="1" ht="13.5" customHeight="1">
      <c r="A108" s="12" t="s">
        <v>223</v>
      </c>
      <c r="B108" s="791" t="s">
        <v>860</v>
      </c>
      <c r="C108" s="33">
        <f>SUM(C109:C110)</f>
        <v>24700</v>
      </c>
      <c r="E108" s="33"/>
      <c r="G108" s="23"/>
    </row>
    <row r="109" spans="1:18" s="100" customFormat="1" ht="13.5" hidden="1">
      <c r="A109" s="13" t="s">
        <v>221</v>
      </c>
      <c r="B109" s="105" t="s">
        <v>861</v>
      </c>
      <c r="C109" s="822">
        <v>19200</v>
      </c>
      <c r="E109" s="102"/>
      <c r="F109" s="138"/>
      <c r="G109" s="79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1:18" s="100" customFormat="1" ht="13.5" hidden="1">
      <c r="A110" s="13" t="s">
        <v>271</v>
      </c>
      <c r="B110" s="105" t="s">
        <v>270</v>
      </c>
      <c r="C110" s="822">
        <v>5500</v>
      </c>
      <c r="E110" s="102"/>
      <c r="F110" s="138"/>
      <c r="G110" s="79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1:18" s="100" customFormat="1" ht="13.5">
      <c r="A111" s="12" t="s">
        <v>862</v>
      </c>
      <c r="B111" s="813" t="s">
        <v>821</v>
      </c>
      <c r="C111" s="811">
        <f>SUM(C112:C114)</f>
        <v>46600</v>
      </c>
      <c r="E111" s="102"/>
      <c r="G111" s="79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1:18" s="100" customFormat="1" ht="13.5" hidden="1">
      <c r="A112" s="13" t="s">
        <v>822</v>
      </c>
      <c r="B112" s="105" t="s">
        <v>863</v>
      </c>
      <c r="C112" s="822">
        <v>10950</v>
      </c>
      <c r="E112" s="102"/>
      <c r="G112" s="79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1:18" s="100" customFormat="1" ht="13.5" hidden="1">
      <c r="A113" s="13" t="s">
        <v>824</v>
      </c>
      <c r="B113" s="57" t="s">
        <v>825</v>
      </c>
      <c r="C113" s="822">
        <v>5000</v>
      </c>
      <c r="E113" s="102"/>
      <c r="G113" s="79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1:18" s="100" customFormat="1" ht="13.5" hidden="1">
      <c r="A114" s="13" t="s">
        <v>826</v>
      </c>
      <c r="B114" s="105" t="s">
        <v>864</v>
      </c>
      <c r="C114" s="822">
        <v>30650</v>
      </c>
      <c r="E114" s="102"/>
      <c r="G114" s="79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:18" s="100" customFormat="1" ht="13.5">
      <c r="A115" s="353" t="s">
        <v>129</v>
      </c>
      <c r="B115" s="26" t="s">
        <v>119</v>
      </c>
      <c r="C115" s="811">
        <f>SUM(C116)</f>
        <v>3100</v>
      </c>
      <c r="E115" s="102"/>
      <c r="G115" s="79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:18" s="100" customFormat="1" ht="13.5" hidden="1">
      <c r="A116" s="107" t="s">
        <v>212</v>
      </c>
      <c r="B116" s="105" t="s">
        <v>211</v>
      </c>
      <c r="C116" s="822">
        <v>3100</v>
      </c>
      <c r="E116" s="102"/>
      <c r="G116" s="79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1:18" s="100" customFormat="1" ht="13.5">
      <c r="A117" s="353" t="s">
        <v>169</v>
      </c>
      <c r="B117" s="813" t="s">
        <v>135</v>
      </c>
      <c r="C117" s="811">
        <f>SUM(C118:C119)</f>
        <v>7200</v>
      </c>
      <c r="D117" s="102"/>
      <c r="E117" s="102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1:18" s="100" customFormat="1" ht="13.5" hidden="1">
      <c r="A118" s="107" t="s">
        <v>170</v>
      </c>
      <c r="B118" s="105" t="s">
        <v>70</v>
      </c>
      <c r="C118" s="822">
        <v>4200</v>
      </c>
      <c r="D118" s="102"/>
      <c r="E118" s="102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1:18" s="100" customFormat="1" ht="13.5" hidden="1">
      <c r="A119" s="107" t="s">
        <v>173</v>
      </c>
      <c r="B119" s="24" t="s">
        <v>135</v>
      </c>
      <c r="C119" s="822">
        <v>3000</v>
      </c>
      <c r="D119" s="102"/>
      <c r="E119" s="102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1:18" s="100" customFormat="1" ht="14.25" thickBot="1">
      <c r="A120" s="107"/>
      <c r="B120" s="24"/>
      <c r="C120" s="24"/>
      <c r="D120" s="102"/>
      <c r="E120" s="102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1:18" s="100" customFormat="1" ht="14.25" thickBot="1">
      <c r="A121" s="957" t="s">
        <v>3</v>
      </c>
      <c r="B121" s="958"/>
      <c r="C121" s="98">
        <f>C122+C126+C128+C131+C133</f>
        <v>4127600</v>
      </c>
      <c r="D121" s="102"/>
      <c r="E121" s="640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1:7" s="323" customFormat="1" ht="13.5">
      <c r="A122" s="95" t="s">
        <v>130</v>
      </c>
      <c r="B122" s="95" t="s">
        <v>853</v>
      </c>
      <c r="C122" s="816">
        <f>SUM(C123:C125)</f>
        <v>15500</v>
      </c>
      <c r="E122" s="641"/>
      <c r="G122" s="135"/>
    </row>
    <row r="123" spans="1:7" s="78" customFormat="1" ht="13.5" hidden="1">
      <c r="A123" s="86" t="s">
        <v>300</v>
      </c>
      <c r="B123" s="57" t="s">
        <v>301</v>
      </c>
      <c r="C123" s="822">
        <v>4500</v>
      </c>
      <c r="E123" s="79"/>
      <c r="F123" s="79"/>
      <c r="G123" s="87"/>
    </row>
    <row r="124" spans="1:7" s="78" customFormat="1" ht="13.5" hidden="1">
      <c r="A124" s="86" t="s">
        <v>207</v>
      </c>
      <c r="B124" s="86" t="s">
        <v>397</v>
      </c>
      <c r="C124" s="822">
        <v>7000</v>
      </c>
      <c r="E124" s="79"/>
      <c r="F124" s="79"/>
      <c r="G124" s="96"/>
    </row>
    <row r="125" spans="1:7" s="78" customFormat="1" ht="13.5" hidden="1">
      <c r="A125" s="86" t="s">
        <v>148</v>
      </c>
      <c r="B125" s="86" t="s">
        <v>77</v>
      </c>
      <c r="C125" s="822">
        <v>4000</v>
      </c>
      <c r="E125" s="79"/>
      <c r="F125" s="79"/>
      <c r="G125" s="87"/>
    </row>
    <row r="126" spans="1:7" s="78" customFormat="1" ht="13.5">
      <c r="A126" s="353" t="s">
        <v>398</v>
      </c>
      <c r="B126" s="95" t="s">
        <v>399</v>
      </c>
      <c r="C126" s="96">
        <f>SUM(C127)</f>
        <v>3182400</v>
      </c>
      <c r="E126" s="79"/>
      <c r="F126" s="79"/>
      <c r="G126" s="87"/>
    </row>
    <row r="127" spans="1:7" s="78" customFormat="1" ht="13.5" hidden="1">
      <c r="A127" s="107" t="s">
        <v>865</v>
      </c>
      <c r="B127" s="86" t="s">
        <v>866</v>
      </c>
      <c r="C127" s="822">
        <f>221000*1.2*12</f>
        <v>3182400</v>
      </c>
      <c r="E127" s="79"/>
      <c r="F127" s="79"/>
      <c r="G127" s="87"/>
    </row>
    <row r="128" spans="1:7" s="78" customFormat="1" ht="13.5">
      <c r="A128" s="353" t="s">
        <v>122</v>
      </c>
      <c r="B128" s="95" t="s">
        <v>175</v>
      </c>
      <c r="C128" s="96">
        <f>SUM(C129:C130)</f>
        <v>812000</v>
      </c>
      <c r="F128" s="79"/>
      <c r="G128" s="79"/>
    </row>
    <row r="129" spans="1:7" s="78" customFormat="1" ht="13.5" hidden="1">
      <c r="A129" s="107" t="s">
        <v>150</v>
      </c>
      <c r="B129" s="86" t="s">
        <v>149</v>
      </c>
      <c r="C129" s="822">
        <v>7000</v>
      </c>
      <c r="E129" s="79"/>
      <c r="F129" s="79"/>
      <c r="G129" s="96"/>
    </row>
    <row r="130" spans="1:9" s="78" customFormat="1" ht="13.5" hidden="1">
      <c r="A130" s="107" t="s">
        <v>53</v>
      </c>
      <c r="B130" s="25" t="s">
        <v>97</v>
      </c>
      <c r="C130" s="822">
        <v>805000</v>
      </c>
      <c r="G130" s="87"/>
      <c r="H130" s="79"/>
      <c r="I130" s="79"/>
    </row>
    <row r="131" spans="1:9" s="78" customFormat="1" ht="13.5">
      <c r="A131" s="353" t="s">
        <v>123</v>
      </c>
      <c r="B131" s="33" t="s">
        <v>124</v>
      </c>
      <c r="C131" s="96">
        <f>SUM(C132:C132)</f>
        <v>25500</v>
      </c>
      <c r="G131" s="87"/>
      <c r="H131" s="79"/>
      <c r="I131" s="79"/>
    </row>
    <row r="132" spans="1:7" s="78" customFormat="1" ht="13.5" hidden="1">
      <c r="A132" s="107" t="s">
        <v>184</v>
      </c>
      <c r="B132" s="86" t="s">
        <v>83</v>
      </c>
      <c r="C132" s="822">
        <v>25500</v>
      </c>
      <c r="E132" s="79"/>
      <c r="F132" s="79"/>
      <c r="G132" s="87"/>
    </row>
    <row r="133" spans="1:18" s="100" customFormat="1" ht="13.5">
      <c r="A133" s="353" t="s">
        <v>125</v>
      </c>
      <c r="B133" s="33" t="s">
        <v>8</v>
      </c>
      <c r="C133" s="96">
        <f>SUM(C134:C135)</f>
        <v>92200</v>
      </c>
      <c r="E133" s="79"/>
      <c r="F133" s="79"/>
      <c r="G133" s="87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1:18" s="100" customFormat="1" ht="13.5" hidden="1">
      <c r="A134" s="107" t="s">
        <v>102</v>
      </c>
      <c r="B134" s="25" t="s">
        <v>8</v>
      </c>
      <c r="C134" s="822">
        <v>88200</v>
      </c>
      <c r="E134" s="102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:18" s="100" customFormat="1" ht="13.5" hidden="1">
      <c r="A135" s="107" t="s">
        <v>100</v>
      </c>
      <c r="B135" s="25" t="s">
        <v>7</v>
      </c>
      <c r="C135" s="822">
        <v>4000</v>
      </c>
      <c r="E135" s="79"/>
      <c r="G135" s="79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1:18" s="100" customFormat="1" ht="14.25" thickBot="1">
      <c r="A136" s="107"/>
      <c r="B136" s="25"/>
      <c r="C136" s="87"/>
      <c r="D136" s="79"/>
      <c r="E136" s="79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1:18" s="100" customFormat="1" ht="14.25" thickBot="1">
      <c r="A137" s="959" t="s">
        <v>4</v>
      </c>
      <c r="B137" s="960"/>
      <c r="C137" s="103">
        <f>C138+C140+C142</f>
        <v>22501</v>
      </c>
      <c r="D137" s="102"/>
      <c r="E137" s="102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1:5" s="323" customFormat="1" ht="13.5">
      <c r="A138" s="353" t="s">
        <v>201</v>
      </c>
      <c r="B138" s="286" t="s">
        <v>200</v>
      </c>
      <c r="C138" s="816">
        <f>SUM(C139)</f>
        <v>19000</v>
      </c>
      <c r="D138" s="135"/>
      <c r="E138" s="135"/>
    </row>
    <row r="139" spans="1:18" s="9" customFormat="1" ht="13.5" customHeight="1" hidden="1">
      <c r="A139" s="107" t="s">
        <v>833</v>
      </c>
      <c r="B139" s="24" t="s">
        <v>834</v>
      </c>
      <c r="C139" s="821">
        <v>19000</v>
      </c>
      <c r="D139" s="115"/>
      <c r="E139" s="26"/>
      <c r="F139" s="57"/>
      <c r="G139" s="108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 s="9" customFormat="1" ht="13.5" customHeight="1">
      <c r="A140" s="353" t="s">
        <v>193</v>
      </c>
      <c r="B140" s="26" t="s">
        <v>192</v>
      </c>
      <c r="C140" s="26">
        <f>SUM(C141)</f>
        <v>1</v>
      </c>
      <c r="D140" s="115"/>
      <c r="E140" s="26"/>
      <c r="F140" s="57"/>
      <c r="G140" s="108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 s="9" customFormat="1" ht="13.5" customHeight="1" hidden="1">
      <c r="A141" s="107" t="s">
        <v>191</v>
      </c>
      <c r="B141" s="25" t="s">
        <v>190</v>
      </c>
      <c r="C141" s="821">
        <v>1</v>
      </c>
      <c r="D141" s="115"/>
      <c r="E141" s="26"/>
      <c r="F141" s="57"/>
      <c r="G141" s="108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 s="9" customFormat="1" ht="13.5" customHeight="1">
      <c r="A142" s="353" t="s">
        <v>188</v>
      </c>
      <c r="B142" s="33" t="s">
        <v>867</v>
      </c>
      <c r="C142" s="26">
        <f>SUM(C143)</f>
        <v>3500</v>
      </c>
      <c r="D142" s="115"/>
      <c r="E142" s="26"/>
      <c r="F142" s="57"/>
      <c r="G142" s="108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s="9" customFormat="1" ht="13.5" customHeight="1" hidden="1">
      <c r="A143" s="107" t="s">
        <v>189</v>
      </c>
      <c r="B143" s="24" t="s">
        <v>56</v>
      </c>
      <c r="C143" s="821">
        <v>3500</v>
      </c>
      <c r="D143" s="115"/>
      <c r="E143" s="26"/>
      <c r="F143" s="140"/>
      <c r="G143" s="71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5" ht="13.5" thickBot="1"/>
    <row r="146" spans="1:5" ht="12.75">
      <c r="A146" s="72" t="s">
        <v>868</v>
      </c>
      <c r="B146" s="73"/>
      <c r="C146" s="633"/>
      <c r="D146" s="75" t="s">
        <v>6</v>
      </c>
      <c r="E146" s="76" t="s">
        <v>869</v>
      </c>
    </row>
    <row r="147" spans="1:5" ht="13.5" thickBot="1">
      <c r="A147" s="77"/>
      <c r="B147" s="78"/>
      <c r="C147" s="80"/>
      <c r="D147" s="634"/>
      <c r="E147" s="635"/>
    </row>
    <row r="148" spans="1:5" ht="12.75">
      <c r="A148" s="72" t="s">
        <v>870</v>
      </c>
      <c r="B148" s="73"/>
      <c r="C148" s="74"/>
      <c r="D148" s="74"/>
      <c r="E148" s="633"/>
    </row>
    <row r="149" spans="1:5" ht="12.75">
      <c r="A149" s="77" t="s">
        <v>871</v>
      </c>
      <c r="B149" s="78"/>
      <c r="C149" s="79"/>
      <c r="D149" s="79"/>
      <c r="E149" s="80"/>
    </row>
    <row r="150" spans="1:5" ht="12.75">
      <c r="A150" s="77" t="s">
        <v>872</v>
      </c>
      <c r="B150" s="78"/>
      <c r="C150" s="79"/>
      <c r="D150" s="79"/>
      <c r="E150" s="80"/>
    </row>
    <row r="151" spans="1:5" ht="12.75">
      <c r="A151" s="77" t="s">
        <v>873</v>
      </c>
      <c r="B151" s="78"/>
      <c r="C151" s="79"/>
      <c r="D151" s="79"/>
      <c r="E151" s="642"/>
    </row>
    <row r="152" spans="1:5" ht="12.75">
      <c r="A152" s="77" t="s">
        <v>874</v>
      </c>
      <c r="B152" s="78"/>
      <c r="C152" s="79"/>
      <c r="D152" s="79"/>
      <c r="E152" s="642"/>
    </row>
    <row r="153" spans="1:5" ht="12.75" hidden="1">
      <c r="A153" s="77" t="s">
        <v>875</v>
      </c>
      <c r="B153" s="78"/>
      <c r="C153" s="79"/>
      <c r="D153" s="79"/>
      <c r="E153" s="642"/>
    </row>
    <row r="154" spans="1:5" ht="12.75" hidden="1">
      <c r="A154" s="77" t="s">
        <v>876</v>
      </c>
      <c r="B154" s="78"/>
      <c r="C154" s="79"/>
      <c r="D154" s="79"/>
      <c r="E154" s="642"/>
    </row>
    <row r="155" spans="1:5" ht="12.75" hidden="1">
      <c r="A155" s="77" t="s">
        <v>877</v>
      </c>
      <c r="B155" s="78"/>
      <c r="C155" s="79"/>
      <c r="D155" s="79"/>
      <c r="E155" s="642"/>
    </row>
    <row r="156" spans="1:5" ht="12.75" hidden="1">
      <c r="A156" s="77" t="s">
        <v>878</v>
      </c>
      <c r="B156" s="78"/>
      <c r="C156" s="79"/>
      <c r="D156" s="79"/>
      <c r="E156" s="642"/>
    </row>
    <row r="157" spans="1:5" ht="12.75" hidden="1">
      <c r="A157" s="77" t="s">
        <v>879</v>
      </c>
      <c r="B157" s="78"/>
      <c r="C157" s="79"/>
      <c r="D157" s="79"/>
      <c r="E157" s="642"/>
    </row>
    <row r="158" spans="1:5" ht="12.75" hidden="1">
      <c r="A158" s="77" t="s">
        <v>880</v>
      </c>
      <c r="B158" s="78"/>
      <c r="C158" s="79"/>
      <c r="D158" s="79"/>
      <c r="E158" s="642"/>
    </row>
    <row r="159" spans="1:5" ht="12.75" hidden="1">
      <c r="A159" s="77" t="s">
        <v>881</v>
      </c>
      <c r="B159" s="78"/>
      <c r="C159" s="79"/>
      <c r="D159" s="79"/>
      <c r="E159" s="642"/>
    </row>
    <row r="160" spans="1:5" ht="12.75" hidden="1">
      <c r="A160" s="77" t="s">
        <v>882</v>
      </c>
      <c r="B160" s="78"/>
      <c r="C160" s="79"/>
      <c r="D160" s="79"/>
      <c r="E160" s="642"/>
    </row>
    <row r="161" spans="1:6" ht="12.75" hidden="1">
      <c r="A161" s="77" t="s">
        <v>883</v>
      </c>
      <c r="B161" s="78"/>
      <c r="C161" s="79"/>
      <c r="D161" s="79"/>
      <c r="E161" s="642"/>
      <c r="F161" s="100"/>
    </row>
    <row r="162" spans="1:6" ht="12.75" hidden="1">
      <c r="A162" s="77" t="s">
        <v>884</v>
      </c>
      <c r="B162" s="78"/>
      <c r="C162" s="79"/>
      <c r="D162" s="643"/>
      <c r="E162" s="635"/>
      <c r="F162" s="100"/>
    </row>
    <row r="163" spans="1:6" ht="12.75" hidden="1">
      <c r="A163" s="77" t="s">
        <v>885</v>
      </c>
      <c r="B163" s="78"/>
      <c r="C163" s="79"/>
      <c r="D163" s="79"/>
      <c r="E163" s="80"/>
      <c r="F163" s="100"/>
    </row>
    <row r="164" spans="1:5" ht="12.75" hidden="1">
      <c r="A164" s="77" t="s">
        <v>886</v>
      </c>
      <c r="B164" s="78"/>
      <c r="C164" s="79"/>
      <c r="D164" s="79"/>
      <c r="E164" s="80"/>
    </row>
    <row r="165" spans="1:5" ht="12.75" hidden="1">
      <c r="A165" s="77" t="s">
        <v>887</v>
      </c>
      <c r="B165" s="78"/>
      <c r="C165" s="79"/>
      <c r="D165" s="79"/>
      <c r="E165" s="80"/>
    </row>
    <row r="166" spans="1:5" ht="12.75" hidden="1">
      <c r="A166" s="77" t="s">
        <v>888</v>
      </c>
      <c r="B166" s="78"/>
      <c r="C166" s="79"/>
      <c r="D166" s="79"/>
      <c r="E166" s="80"/>
    </row>
    <row r="167" spans="1:5" ht="12.75" hidden="1">
      <c r="A167" s="77" t="s">
        <v>889</v>
      </c>
      <c r="B167" s="78"/>
      <c r="C167" s="79"/>
      <c r="D167" s="79"/>
      <c r="E167" s="80"/>
    </row>
    <row r="168" spans="1:5" ht="12.75" hidden="1">
      <c r="A168" s="77" t="s">
        <v>890</v>
      </c>
      <c r="B168" s="78"/>
      <c r="C168" s="79"/>
      <c r="D168" s="79"/>
      <c r="E168" s="80"/>
    </row>
    <row r="169" spans="1:5" ht="12.75" hidden="1">
      <c r="A169" s="77" t="s">
        <v>891</v>
      </c>
      <c r="B169" s="78"/>
      <c r="C169" s="79"/>
      <c r="D169" s="79"/>
      <c r="E169" s="80"/>
    </row>
    <row r="170" spans="1:5" ht="12.75" hidden="1">
      <c r="A170" s="77" t="s">
        <v>892</v>
      </c>
      <c r="B170" s="78"/>
      <c r="C170" s="79"/>
      <c r="D170" s="79"/>
      <c r="E170" s="80"/>
    </row>
    <row r="171" spans="1:5" ht="12.75" hidden="1">
      <c r="A171" s="77" t="s">
        <v>893</v>
      </c>
      <c r="B171" s="78"/>
      <c r="C171" s="79"/>
      <c r="D171" s="79"/>
      <c r="E171" s="80"/>
    </row>
    <row r="172" spans="1:5" ht="12.75" hidden="1">
      <c r="A172" s="77" t="s">
        <v>894</v>
      </c>
      <c r="B172" s="78"/>
      <c r="C172" s="79"/>
      <c r="D172" s="79"/>
      <c r="E172" s="80"/>
    </row>
    <row r="173" spans="1:5" ht="12.75" hidden="1">
      <c r="A173" s="77" t="s">
        <v>895</v>
      </c>
      <c r="B173" s="78"/>
      <c r="C173" s="79"/>
      <c r="D173" s="79"/>
      <c r="E173" s="80"/>
    </row>
    <row r="174" spans="1:5" ht="12.75" hidden="1">
      <c r="A174" s="77" t="s">
        <v>896</v>
      </c>
      <c r="B174" s="78"/>
      <c r="C174" s="79"/>
      <c r="D174" s="79"/>
      <c r="E174" s="80"/>
    </row>
    <row r="175" spans="1:5" ht="12.75" hidden="1">
      <c r="A175" s="77" t="s">
        <v>897</v>
      </c>
      <c r="B175" s="78"/>
      <c r="C175" s="79"/>
      <c r="D175" s="79"/>
      <c r="E175" s="80"/>
    </row>
    <row r="176" spans="1:5" ht="12.75" hidden="1">
      <c r="A176" s="77" t="s">
        <v>898</v>
      </c>
      <c r="B176" s="78"/>
      <c r="C176" s="643"/>
      <c r="D176" s="644"/>
      <c r="E176" s="80"/>
    </row>
    <row r="177" spans="1:5" ht="12.75" hidden="1">
      <c r="A177" s="77" t="s">
        <v>899</v>
      </c>
      <c r="B177" s="78"/>
      <c r="C177" s="643"/>
      <c r="D177" s="644"/>
      <c r="E177" s="80"/>
    </row>
    <row r="178" spans="1:5" ht="12.75" hidden="1">
      <c r="A178" s="77" t="s">
        <v>900</v>
      </c>
      <c r="B178" s="78"/>
      <c r="C178" s="643"/>
      <c r="D178" s="644"/>
      <c r="E178" s="80"/>
    </row>
    <row r="179" spans="1:5" ht="12.75" hidden="1">
      <c r="A179" s="77" t="s">
        <v>901</v>
      </c>
      <c r="B179" s="78"/>
      <c r="C179" s="643"/>
      <c r="D179" s="644"/>
      <c r="E179" s="80"/>
    </row>
    <row r="180" spans="1:5" ht="12.75">
      <c r="A180" s="77" t="s">
        <v>902</v>
      </c>
      <c r="B180" s="78"/>
      <c r="C180" s="79"/>
      <c r="D180" s="79"/>
      <c r="E180" s="80"/>
    </row>
    <row r="181" spans="1:5" ht="12.75">
      <c r="A181" s="77" t="s">
        <v>903</v>
      </c>
      <c r="B181" s="78"/>
      <c r="C181" s="79"/>
      <c r="D181" s="79"/>
      <c r="E181" s="80"/>
    </row>
    <row r="182" spans="1:5" ht="12.75">
      <c r="A182" s="77" t="s">
        <v>904</v>
      </c>
      <c r="B182" s="78"/>
      <c r="C182" s="79"/>
      <c r="D182" s="79"/>
      <c r="E182" s="80"/>
    </row>
    <row r="183" spans="1:5" ht="12.75">
      <c r="A183" s="77" t="s">
        <v>1432</v>
      </c>
      <c r="B183" s="78"/>
      <c r="C183" s="79"/>
      <c r="D183" s="79"/>
      <c r="E183" s="80"/>
    </row>
    <row r="184" spans="1:5" ht="12.75">
      <c r="A184" s="645" t="s">
        <v>905</v>
      </c>
      <c r="B184" s="78"/>
      <c r="C184" s="79"/>
      <c r="D184" s="79"/>
      <c r="E184" s="80"/>
    </row>
    <row r="185" spans="1:5" ht="13.5" thickBot="1">
      <c r="A185" s="646" t="s">
        <v>906</v>
      </c>
      <c r="B185" s="82"/>
      <c r="C185" s="83"/>
      <c r="D185" s="83"/>
      <c r="E185" s="84"/>
    </row>
    <row r="186" spans="1:5" ht="13.5">
      <c r="A186" s="85" t="s">
        <v>1365</v>
      </c>
      <c r="B186" s="86"/>
      <c r="C186" s="87"/>
      <c r="D186" s="87"/>
      <c r="E186" s="88"/>
    </row>
    <row r="187" spans="1:5" ht="13.5">
      <c r="A187" s="85" t="s">
        <v>851</v>
      </c>
      <c r="B187" s="86"/>
      <c r="C187" s="87"/>
      <c r="D187" s="87"/>
      <c r="E187" s="88"/>
    </row>
    <row r="188" spans="1:5" ht="13.5">
      <c r="A188" s="85" t="s">
        <v>1421</v>
      </c>
      <c r="B188" s="86"/>
      <c r="C188" s="87"/>
      <c r="D188" s="87"/>
      <c r="E188" s="88"/>
    </row>
    <row r="189" spans="1:5" ht="14.25" thickBot="1">
      <c r="A189" s="238" t="s">
        <v>16</v>
      </c>
      <c r="B189" s="647"/>
      <c r="C189" s="236"/>
      <c r="D189" s="236"/>
      <c r="E189" s="235"/>
    </row>
    <row r="190" spans="1:7" ht="14.25" thickBot="1">
      <c r="A190" s="89" t="s">
        <v>17</v>
      </c>
      <c r="B190" s="90"/>
      <c r="C190" s="91"/>
      <c r="D190" s="92"/>
      <c r="E190" s="93">
        <f>C192+C224+C250</f>
        <v>10891341</v>
      </c>
      <c r="F190" s="94"/>
      <c r="G190" s="79"/>
    </row>
    <row r="191" spans="1:5" ht="14.25" thickBot="1">
      <c r="A191" s="95"/>
      <c r="B191" s="95"/>
      <c r="C191" s="96"/>
      <c r="D191" s="96"/>
      <c r="E191" s="632"/>
    </row>
    <row r="192" spans="1:18" s="100" customFormat="1" ht="14.25" thickBot="1">
      <c r="A192" s="955" t="s">
        <v>2</v>
      </c>
      <c r="B192" s="956"/>
      <c r="C192" s="97">
        <f>C193+C195+C199+C201+C204+C206+C211+C215+C218</f>
        <v>4248430</v>
      </c>
      <c r="D192" s="79"/>
      <c r="F192" s="28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1:5" s="323" customFormat="1" ht="13.5">
      <c r="A193" s="12" t="s">
        <v>113</v>
      </c>
      <c r="B193" s="286" t="s">
        <v>852</v>
      </c>
      <c r="C193" s="816">
        <f>SUM(C194)</f>
        <v>1290200</v>
      </c>
      <c r="D193" s="135"/>
      <c r="E193" s="135"/>
    </row>
    <row r="194" spans="1:7" s="57" customFormat="1" ht="13.5" customHeight="1" hidden="1">
      <c r="A194" s="13" t="s">
        <v>50</v>
      </c>
      <c r="B194" s="9" t="s">
        <v>49</v>
      </c>
      <c r="C194" s="821">
        <f>1420200-130000</f>
        <v>1290200</v>
      </c>
      <c r="D194" s="25"/>
      <c r="E194" s="33"/>
      <c r="G194" s="71"/>
    </row>
    <row r="195" spans="1:7" s="57" customFormat="1" ht="13.5" customHeight="1">
      <c r="A195" s="12" t="s">
        <v>223</v>
      </c>
      <c r="B195" s="791" t="s">
        <v>256</v>
      </c>
      <c r="C195" s="33">
        <f>SUM(C196:C198)</f>
        <v>70100</v>
      </c>
      <c r="D195" s="25"/>
      <c r="E195" s="33"/>
      <c r="G195" s="71"/>
    </row>
    <row r="196" spans="1:7" s="57" customFormat="1" ht="13.5" customHeight="1" hidden="1">
      <c r="A196" s="13" t="s">
        <v>221</v>
      </c>
      <c r="B196" s="105" t="s">
        <v>861</v>
      </c>
      <c r="C196" s="821">
        <v>12600</v>
      </c>
      <c r="D196" s="25"/>
      <c r="E196" s="33"/>
      <c r="G196" s="71"/>
    </row>
    <row r="197" spans="1:7" s="57" customFormat="1" ht="13.5" customHeight="1" hidden="1">
      <c r="A197" s="13" t="s">
        <v>271</v>
      </c>
      <c r="B197" s="105" t="s">
        <v>270</v>
      </c>
      <c r="C197" s="822">
        <v>49100</v>
      </c>
      <c r="D197" s="25"/>
      <c r="E197" s="33"/>
      <c r="G197" s="71"/>
    </row>
    <row r="198" spans="1:7" s="57" customFormat="1" ht="13.5" customHeight="1" hidden="1">
      <c r="A198" s="13" t="s">
        <v>255</v>
      </c>
      <c r="B198" s="57" t="s">
        <v>254</v>
      </c>
      <c r="C198" s="822">
        <v>8400</v>
      </c>
      <c r="D198" s="25"/>
      <c r="E198" s="33"/>
      <c r="G198" s="71"/>
    </row>
    <row r="199" spans="1:7" s="57" customFormat="1" ht="13.5" customHeight="1">
      <c r="A199" s="12" t="s">
        <v>115</v>
      </c>
      <c r="B199" s="791" t="s">
        <v>116</v>
      </c>
      <c r="C199" s="33">
        <f>C200</f>
        <v>228300</v>
      </c>
      <c r="D199" s="25"/>
      <c r="E199" s="33"/>
      <c r="G199" s="71"/>
    </row>
    <row r="200" spans="1:18" s="100" customFormat="1" ht="13.5" hidden="1">
      <c r="A200" s="13" t="s">
        <v>96</v>
      </c>
      <c r="B200" s="9" t="s">
        <v>71</v>
      </c>
      <c r="C200" s="821">
        <v>228300</v>
      </c>
      <c r="D200" s="102"/>
      <c r="E200" s="102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1:18" s="100" customFormat="1" ht="13.5">
      <c r="A201" s="12" t="s">
        <v>117</v>
      </c>
      <c r="B201" s="791" t="s">
        <v>118</v>
      </c>
      <c r="C201" s="33">
        <f>SUM(C202:C203)</f>
        <v>114900</v>
      </c>
      <c r="D201" s="102"/>
      <c r="E201" s="102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1:18" s="100" customFormat="1" ht="13.5" hidden="1">
      <c r="A202" s="13" t="s">
        <v>51</v>
      </c>
      <c r="B202" s="24" t="s">
        <v>52</v>
      </c>
      <c r="C202" s="821">
        <v>99300</v>
      </c>
      <c r="D202" s="79"/>
      <c r="E202" s="79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1:18" s="100" customFormat="1" ht="13.5" hidden="1">
      <c r="A203" s="13" t="s">
        <v>751</v>
      </c>
      <c r="B203" s="24" t="s">
        <v>752</v>
      </c>
      <c r="C203" s="821">
        <v>15600</v>
      </c>
      <c r="D203" s="79"/>
      <c r="E203" s="79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1:18" s="100" customFormat="1" ht="13.5">
      <c r="A204" s="353" t="s">
        <v>219</v>
      </c>
      <c r="B204" s="26" t="s">
        <v>218</v>
      </c>
      <c r="C204" s="33">
        <f>SUM(C205:C205)</f>
        <v>154000</v>
      </c>
      <c r="D204" s="79"/>
      <c r="E204" s="79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1:18" s="100" customFormat="1" ht="13.5" hidden="1">
      <c r="A205" s="13" t="s">
        <v>217</v>
      </c>
      <c r="B205" s="57" t="s">
        <v>252</v>
      </c>
      <c r="C205" s="822">
        <v>154000</v>
      </c>
      <c r="D205" s="102"/>
      <c r="E205" s="102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1:5" s="78" customFormat="1" ht="13.5">
      <c r="A206" s="353" t="s">
        <v>862</v>
      </c>
      <c r="B206" s="95" t="s">
        <v>821</v>
      </c>
      <c r="C206" s="96">
        <f>SUM(C207:C210)</f>
        <v>2126200</v>
      </c>
      <c r="D206" s="79"/>
      <c r="E206" s="79"/>
    </row>
    <row r="207" spans="1:5" s="78" customFormat="1" ht="13.5" hidden="1">
      <c r="A207" s="107" t="s">
        <v>822</v>
      </c>
      <c r="B207" s="86" t="s">
        <v>863</v>
      </c>
      <c r="C207" s="822">
        <f>1932400-104000</f>
        <v>1828400</v>
      </c>
      <c r="D207" s="102"/>
      <c r="E207" s="79"/>
    </row>
    <row r="208" spans="1:5" s="78" customFormat="1" ht="13.5" hidden="1">
      <c r="A208" s="107" t="s">
        <v>824</v>
      </c>
      <c r="B208" s="86" t="s">
        <v>825</v>
      </c>
      <c r="C208" s="822">
        <v>207800</v>
      </c>
      <c r="D208" s="79"/>
      <c r="E208" s="79"/>
    </row>
    <row r="209" spans="1:5" s="78" customFormat="1" ht="13.5" hidden="1">
      <c r="A209" s="107" t="s">
        <v>907</v>
      </c>
      <c r="B209" s="86" t="s">
        <v>908</v>
      </c>
      <c r="C209" s="822">
        <v>59500</v>
      </c>
      <c r="D209" s="79"/>
      <c r="E209" s="79"/>
    </row>
    <row r="210" spans="1:5" s="78" customFormat="1" ht="13.5" hidden="1">
      <c r="A210" s="107" t="s">
        <v>826</v>
      </c>
      <c r="B210" s="86" t="s">
        <v>864</v>
      </c>
      <c r="C210" s="822">
        <v>30500</v>
      </c>
      <c r="D210" s="79"/>
      <c r="E210" s="79"/>
    </row>
    <row r="211" spans="1:18" s="100" customFormat="1" ht="13.5">
      <c r="A211" s="353" t="s">
        <v>129</v>
      </c>
      <c r="B211" s="26" t="s">
        <v>119</v>
      </c>
      <c r="C211" s="96">
        <f>SUM(C212:C214)</f>
        <v>42530</v>
      </c>
      <c r="D211" s="102"/>
      <c r="E211" s="102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1:18" s="100" customFormat="1" ht="13.5" hidden="1">
      <c r="A212" s="105" t="s">
        <v>214</v>
      </c>
      <c r="B212" s="24" t="s">
        <v>213</v>
      </c>
      <c r="C212" s="822">
        <v>16680</v>
      </c>
      <c r="D212" s="102"/>
      <c r="E212" s="102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1:18" s="100" customFormat="1" ht="13.5" hidden="1">
      <c r="A213" s="105" t="s">
        <v>828</v>
      </c>
      <c r="B213" s="105" t="s">
        <v>829</v>
      </c>
      <c r="C213" s="822">
        <v>12100</v>
      </c>
      <c r="D213" s="102"/>
      <c r="E213" s="102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1:18" s="100" customFormat="1" ht="13.5" hidden="1">
      <c r="A214" s="105" t="s">
        <v>212</v>
      </c>
      <c r="B214" s="105" t="s">
        <v>211</v>
      </c>
      <c r="C214" s="822">
        <v>13750</v>
      </c>
      <c r="D214" s="79"/>
      <c r="E214" s="102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1:18" s="100" customFormat="1" ht="13.5">
      <c r="A215" s="353" t="s">
        <v>134</v>
      </c>
      <c r="B215" s="26" t="s">
        <v>133</v>
      </c>
      <c r="C215" s="96">
        <f>SUM(C216:C217)</f>
        <v>33100</v>
      </c>
      <c r="D215" s="79"/>
      <c r="E215" s="102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1:18" s="100" customFormat="1" ht="13.5" hidden="1">
      <c r="A216" s="107" t="s">
        <v>277</v>
      </c>
      <c r="B216" s="57" t="s">
        <v>276</v>
      </c>
      <c r="C216" s="822">
        <v>15600</v>
      </c>
      <c r="D216" s="79"/>
      <c r="E216" s="102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1:18" s="100" customFormat="1" ht="13.5" hidden="1">
      <c r="A217" s="107" t="s">
        <v>103</v>
      </c>
      <c r="B217" s="25" t="s">
        <v>78</v>
      </c>
      <c r="C217" s="822">
        <v>17500</v>
      </c>
      <c r="D217" s="102"/>
      <c r="E217" s="102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1:18" s="100" customFormat="1" ht="13.5">
      <c r="A218" s="353" t="s">
        <v>169</v>
      </c>
      <c r="B218" s="813" t="s">
        <v>135</v>
      </c>
      <c r="C218" s="96">
        <f>SUM(C219:C222)</f>
        <v>189100</v>
      </c>
      <c r="D218" s="102"/>
      <c r="E218" s="102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1:7" s="57" customFormat="1" ht="13.5" customHeight="1" hidden="1">
      <c r="A219" s="107" t="s">
        <v>170</v>
      </c>
      <c r="B219" s="24" t="s">
        <v>70</v>
      </c>
      <c r="C219" s="822">
        <v>113400</v>
      </c>
      <c r="D219" s="23"/>
      <c r="E219" s="96"/>
      <c r="G219" s="71"/>
    </row>
    <row r="220" spans="1:7" s="57" customFormat="1" ht="13.5" customHeight="1" hidden="1">
      <c r="A220" s="107" t="s">
        <v>325</v>
      </c>
      <c r="B220" s="24" t="s">
        <v>326</v>
      </c>
      <c r="C220" s="822">
        <v>9450</v>
      </c>
      <c r="D220" s="23"/>
      <c r="E220" s="96"/>
      <c r="G220" s="71"/>
    </row>
    <row r="221" spans="1:7" s="57" customFormat="1" ht="13.5" customHeight="1" hidden="1">
      <c r="A221" s="107" t="s">
        <v>909</v>
      </c>
      <c r="B221" s="24" t="s">
        <v>910</v>
      </c>
      <c r="C221" s="822">
        <v>12950</v>
      </c>
      <c r="D221" s="23"/>
      <c r="E221" s="96"/>
      <c r="G221" s="71"/>
    </row>
    <row r="222" spans="1:18" s="100" customFormat="1" ht="13.5" hidden="1">
      <c r="A222" s="107" t="s">
        <v>173</v>
      </c>
      <c r="B222" s="24" t="s">
        <v>135</v>
      </c>
      <c r="C222" s="821">
        <v>53300</v>
      </c>
      <c r="D222" s="102"/>
      <c r="E222" s="79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1:18" s="100" customFormat="1" ht="14.25" thickBot="1">
      <c r="A223" s="107"/>
      <c r="B223" s="24"/>
      <c r="C223" s="24"/>
      <c r="D223" s="102"/>
      <c r="E223" s="79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1:18" s="100" customFormat="1" ht="14.25" thickBot="1">
      <c r="A224" s="957" t="s">
        <v>3</v>
      </c>
      <c r="B224" s="958"/>
      <c r="C224" s="98">
        <f>C225+C229+C234+C236+C239+C241+C243</f>
        <v>6479410</v>
      </c>
      <c r="D224" s="79"/>
      <c r="G224" s="28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1:5" s="323" customFormat="1" ht="13.5">
      <c r="A225" s="95" t="s">
        <v>120</v>
      </c>
      <c r="B225" s="286" t="s">
        <v>121</v>
      </c>
      <c r="C225" s="816">
        <f>SUM(C226:C228)</f>
        <v>260460</v>
      </c>
      <c r="D225" s="135"/>
      <c r="E225" s="135"/>
    </row>
    <row r="226" spans="1:7" s="323" customFormat="1" ht="13.5" hidden="1">
      <c r="A226" s="86" t="s">
        <v>179</v>
      </c>
      <c r="B226" s="140" t="s">
        <v>178</v>
      </c>
      <c r="C226" s="844">
        <v>85500</v>
      </c>
      <c r="E226" s="135"/>
      <c r="G226" s="135"/>
    </row>
    <row r="227" spans="1:7" s="323" customFormat="1" ht="13.5" hidden="1">
      <c r="A227" s="86" t="s">
        <v>393</v>
      </c>
      <c r="B227" s="140" t="s">
        <v>911</v>
      </c>
      <c r="C227" s="844">
        <v>156960</v>
      </c>
      <c r="E227" s="135"/>
      <c r="G227" s="135"/>
    </row>
    <row r="228" spans="1:5" s="323" customFormat="1" ht="13.5" hidden="1">
      <c r="A228" s="86" t="s">
        <v>57</v>
      </c>
      <c r="B228" s="86" t="s">
        <v>18</v>
      </c>
      <c r="C228" s="844">
        <v>18000</v>
      </c>
      <c r="D228" s="135"/>
      <c r="E228" s="135"/>
    </row>
    <row r="229" spans="1:5" s="323" customFormat="1" ht="13.5">
      <c r="A229" s="95" t="s">
        <v>130</v>
      </c>
      <c r="B229" s="95" t="s">
        <v>131</v>
      </c>
      <c r="C229" s="816">
        <f>SUM(C230:C233)</f>
        <v>441050</v>
      </c>
      <c r="D229" s="135"/>
      <c r="E229" s="135"/>
    </row>
    <row r="230" spans="1:5" s="323" customFormat="1" ht="13.5" hidden="1">
      <c r="A230" s="13" t="s">
        <v>327</v>
      </c>
      <c r="B230" s="13" t="s">
        <v>328</v>
      </c>
      <c r="C230" s="821">
        <v>305000</v>
      </c>
      <c r="D230" s="135"/>
      <c r="E230" s="135"/>
    </row>
    <row r="231" spans="1:5" s="323" customFormat="1" ht="13.5" hidden="1">
      <c r="A231" s="86" t="s">
        <v>831</v>
      </c>
      <c r="B231" s="86" t="s">
        <v>912</v>
      </c>
      <c r="C231" s="822">
        <v>64350</v>
      </c>
      <c r="D231" s="135"/>
      <c r="E231" s="135"/>
    </row>
    <row r="232" spans="1:5" s="323" customFormat="1" ht="13.5" hidden="1">
      <c r="A232" s="86" t="s">
        <v>207</v>
      </c>
      <c r="B232" s="86" t="s">
        <v>913</v>
      </c>
      <c r="C232" s="822">
        <v>29000</v>
      </c>
      <c r="D232" s="135"/>
      <c r="E232" s="135"/>
    </row>
    <row r="233" spans="1:5" s="323" customFormat="1" ht="13.5" hidden="1">
      <c r="A233" s="86" t="s">
        <v>148</v>
      </c>
      <c r="B233" s="86" t="s">
        <v>77</v>
      </c>
      <c r="C233" s="822">
        <v>42700</v>
      </c>
      <c r="D233" s="135"/>
      <c r="E233" s="135"/>
    </row>
    <row r="234" spans="1:5" s="323" customFormat="1" ht="13.5">
      <c r="A234" s="95" t="s">
        <v>398</v>
      </c>
      <c r="B234" s="95" t="s">
        <v>399</v>
      </c>
      <c r="C234" s="96">
        <f>SUM(C235)</f>
        <v>168000</v>
      </c>
      <c r="D234" s="135"/>
      <c r="E234" s="135"/>
    </row>
    <row r="235" spans="1:7" s="323" customFormat="1" ht="13.5" hidden="1">
      <c r="A235" s="86" t="s">
        <v>404</v>
      </c>
      <c r="B235" s="86" t="s">
        <v>405</v>
      </c>
      <c r="C235" s="821">
        <v>168000</v>
      </c>
      <c r="E235" s="135"/>
      <c r="G235" s="744"/>
    </row>
    <row r="236" spans="1:5" s="323" customFormat="1" ht="13.5">
      <c r="A236" s="353" t="s">
        <v>122</v>
      </c>
      <c r="B236" s="95" t="s">
        <v>175</v>
      </c>
      <c r="C236" s="816">
        <f>SUM(C237:C238)</f>
        <v>4360200</v>
      </c>
      <c r="E236" s="135"/>
    </row>
    <row r="237" spans="1:6" s="78" customFormat="1" ht="13.5" hidden="1">
      <c r="A237" s="107" t="s">
        <v>150</v>
      </c>
      <c r="B237" s="86" t="s">
        <v>149</v>
      </c>
      <c r="C237" s="822">
        <v>30000</v>
      </c>
      <c r="D237" s="96"/>
      <c r="E237" s="79"/>
      <c r="F237" s="79"/>
    </row>
    <row r="238" spans="1:9" s="78" customFormat="1" ht="13.5" hidden="1">
      <c r="A238" s="107" t="s">
        <v>53</v>
      </c>
      <c r="B238" s="25" t="s">
        <v>97</v>
      </c>
      <c r="C238" s="822">
        <f>4330200</f>
        <v>4330200</v>
      </c>
      <c r="E238" s="79"/>
      <c r="F238" s="79"/>
      <c r="I238" s="135"/>
    </row>
    <row r="239" spans="1:6" s="78" customFormat="1" ht="13.5">
      <c r="A239" s="353" t="s">
        <v>123</v>
      </c>
      <c r="B239" s="33" t="s">
        <v>124</v>
      </c>
      <c r="C239" s="96">
        <f>SUM(C240:C240)</f>
        <v>20000</v>
      </c>
      <c r="D239" s="87"/>
      <c r="E239" s="79"/>
      <c r="F239" s="79"/>
    </row>
    <row r="240" spans="1:6" s="78" customFormat="1" ht="13.5" hidden="1">
      <c r="A240" s="107" t="s">
        <v>184</v>
      </c>
      <c r="B240" s="86" t="s">
        <v>83</v>
      </c>
      <c r="C240" s="822">
        <v>20000</v>
      </c>
      <c r="D240" s="26"/>
      <c r="E240" s="288"/>
      <c r="F240" s="79"/>
    </row>
    <row r="241" spans="1:6" s="78" customFormat="1" ht="13.5">
      <c r="A241" s="353" t="s">
        <v>143</v>
      </c>
      <c r="B241" s="95" t="s">
        <v>61</v>
      </c>
      <c r="C241" s="96">
        <f>SUM(C242)</f>
        <v>36200</v>
      </c>
      <c r="D241" s="26"/>
      <c r="E241" s="288"/>
      <c r="F241" s="79"/>
    </row>
    <row r="242" spans="1:18" s="100" customFormat="1" ht="13.5" hidden="1">
      <c r="A242" s="107" t="s">
        <v>60</v>
      </c>
      <c r="B242" s="86" t="s">
        <v>61</v>
      </c>
      <c r="C242" s="822">
        <v>36200</v>
      </c>
      <c r="D242" s="79"/>
      <c r="E242" s="79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1:18" s="100" customFormat="1" ht="13.5">
      <c r="A243" s="353" t="s">
        <v>125</v>
      </c>
      <c r="B243" s="33" t="s">
        <v>7</v>
      </c>
      <c r="C243" s="96">
        <f>SUM(C244:C248)</f>
        <v>1193500</v>
      </c>
      <c r="D243" s="79"/>
      <c r="E243" s="79"/>
      <c r="G243" s="640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1:18" s="100" customFormat="1" ht="13.5" hidden="1">
      <c r="A244" s="107" t="s">
        <v>733</v>
      </c>
      <c r="B244" s="25" t="s">
        <v>8</v>
      </c>
      <c r="C244" s="822">
        <f>999500+100000</f>
        <v>1099500</v>
      </c>
      <c r="E244" s="87"/>
      <c r="F244" s="79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1:18" s="100" customFormat="1" ht="13.5" hidden="1">
      <c r="A245" s="107" t="s">
        <v>268</v>
      </c>
      <c r="B245" s="57" t="s">
        <v>267</v>
      </c>
      <c r="C245" s="822">
        <v>7500</v>
      </c>
      <c r="D245" s="78"/>
      <c r="E245" s="79"/>
      <c r="F245" s="79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1:18" s="100" customFormat="1" ht="13.5" hidden="1">
      <c r="A246" s="107" t="s">
        <v>266</v>
      </c>
      <c r="B246" s="57" t="s">
        <v>265</v>
      </c>
      <c r="C246" s="822">
        <v>21500</v>
      </c>
      <c r="D246" s="648"/>
      <c r="E246" s="79"/>
      <c r="F246" s="79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1:18" s="100" customFormat="1" ht="13.5" hidden="1">
      <c r="A247" s="107" t="s">
        <v>242</v>
      </c>
      <c r="B247" s="57" t="s">
        <v>241</v>
      </c>
      <c r="C247" s="810">
        <v>0</v>
      </c>
      <c r="E247" s="79"/>
      <c r="F247" s="79"/>
      <c r="G247" s="640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1:6" s="78" customFormat="1" ht="13.5" hidden="1">
      <c r="A248" s="107" t="s">
        <v>100</v>
      </c>
      <c r="B248" s="25" t="s">
        <v>7</v>
      </c>
      <c r="C248" s="822">
        <v>65000</v>
      </c>
      <c r="E248" s="102"/>
      <c r="F248" s="100"/>
    </row>
    <row r="249" spans="1:18" s="100" customFormat="1" ht="14.25" thickBot="1">
      <c r="A249" s="105"/>
      <c r="B249" s="105"/>
      <c r="C249" s="101"/>
      <c r="D249" s="102"/>
      <c r="E249" s="102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1:18" s="100" customFormat="1" ht="14.25" thickBot="1">
      <c r="A250" s="959" t="s">
        <v>4</v>
      </c>
      <c r="B250" s="960"/>
      <c r="C250" s="103">
        <f>C251+C253+C255+C258</f>
        <v>163501</v>
      </c>
      <c r="D250" s="102"/>
      <c r="G250" s="28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1:7" s="323" customFormat="1" ht="13.5">
      <c r="A251" s="353" t="s">
        <v>201</v>
      </c>
      <c r="B251" s="286" t="s">
        <v>200</v>
      </c>
      <c r="C251" s="816">
        <f>SUM(C252)</f>
        <v>77500</v>
      </c>
      <c r="D251" s="135"/>
      <c r="G251" s="134"/>
    </row>
    <row r="252" spans="1:18" s="100" customFormat="1" ht="13.5" hidden="1">
      <c r="A252" s="107" t="s">
        <v>833</v>
      </c>
      <c r="B252" s="24" t="s">
        <v>834</v>
      </c>
      <c r="C252" s="821">
        <v>77500</v>
      </c>
      <c r="D252" s="102"/>
      <c r="E252" s="102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1:18" s="100" customFormat="1" ht="13.5">
      <c r="A253" s="353" t="s">
        <v>193</v>
      </c>
      <c r="B253" s="26" t="s">
        <v>192</v>
      </c>
      <c r="C253" s="26">
        <f>SUM(C254)</f>
        <v>1</v>
      </c>
      <c r="D253" s="102"/>
      <c r="E253" s="102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1:18" s="9" customFormat="1" ht="13.5" customHeight="1" hidden="1">
      <c r="A254" s="107" t="s">
        <v>191</v>
      </c>
      <c r="B254" s="24" t="s">
        <v>190</v>
      </c>
      <c r="C254" s="821">
        <v>1</v>
      </c>
      <c r="D254" s="23"/>
      <c r="E254" s="26"/>
      <c r="F254" s="57"/>
      <c r="G254" s="108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</row>
    <row r="255" spans="1:18" s="100" customFormat="1" ht="13.5">
      <c r="A255" s="353" t="s">
        <v>126</v>
      </c>
      <c r="B255" s="26" t="s">
        <v>127</v>
      </c>
      <c r="C255" s="26">
        <f>SUM(C256:C257)</f>
        <v>78200</v>
      </c>
      <c r="D255" s="102"/>
      <c r="E255" s="102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1:18" s="100" customFormat="1" ht="13.5" hidden="1">
      <c r="A256" s="107" t="s">
        <v>101</v>
      </c>
      <c r="B256" s="24" t="s">
        <v>152</v>
      </c>
      <c r="C256" s="821">
        <f>76000-18000</f>
        <v>58000</v>
      </c>
      <c r="D256" s="102"/>
      <c r="E256" s="102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1:18" s="100" customFormat="1" ht="13.5" hidden="1">
      <c r="A257" s="107" t="s">
        <v>182</v>
      </c>
      <c r="B257" s="24" t="s">
        <v>183</v>
      </c>
      <c r="C257" s="821">
        <v>20200</v>
      </c>
      <c r="D257" s="102"/>
      <c r="E257" s="102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1:18" s="100" customFormat="1" ht="13.5">
      <c r="A258" s="353" t="s">
        <v>188</v>
      </c>
      <c r="B258" s="33" t="s">
        <v>867</v>
      </c>
      <c r="C258" s="26">
        <f>SUM(C259)</f>
        <v>7800</v>
      </c>
      <c r="D258" s="102"/>
      <c r="E258" s="102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1:18" s="100" customFormat="1" ht="13.5" hidden="1">
      <c r="A259" s="107" t="s">
        <v>189</v>
      </c>
      <c r="B259" s="24" t="s">
        <v>56</v>
      </c>
      <c r="C259" s="821">
        <v>7800</v>
      </c>
      <c r="D259" s="102"/>
      <c r="E259" s="102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1" spans="1:7" s="649" customFormat="1" ht="13.5" customHeight="1" thickBot="1">
      <c r="A261" s="107"/>
      <c r="B261" s="107"/>
      <c r="C261" s="24"/>
      <c r="D261" s="115"/>
      <c r="E261" s="24"/>
      <c r="F261" s="108"/>
      <c r="G261" s="108"/>
    </row>
    <row r="262" spans="1:5" s="649" customFormat="1" ht="13.5" customHeight="1">
      <c r="A262" s="64" t="s">
        <v>914</v>
      </c>
      <c r="B262" s="221"/>
      <c r="C262" s="65"/>
      <c r="D262" s="67" t="s">
        <v>6</v>
      </c>
      <c r="E262" s="44">
        <v>1704</v>
      </c>
    </row>
    <row r="263" spans="1:5" s="649" customFormat="1" ht="13.5" customHeight="1" thickBot="1">
      <c r="A263" s="49"/>
      <c r="B263" s="205"/>
      <c r="C263" s="119"/>
      <c r="D263" s="121"/>
      <c r="E263" s="120"/>
    </row>
    <row r="264" spans="1:7" s="108" customFormat="1" ht="13.5" customHeight="1">
      <c r="A264" s="45" t="s">
        <v>915</v>
      </c>
      <c r="B264" s="208"/>
      <c r="C264" s="172"/>
      <c r="D264" s="577"/>
      <c r="E264" s="450"/>
      <c r="F264" s="649"/>
      <c r="G264" s="649"/>
    </row>
    <row r="265" spans="1:7" s="108" customFormat="1" ht="13.5" customHeight="1">
      <c r="A265" s="45" t="s">
        <v>916</v>
      </c>
      <c r="B265" s="208"/>
      <c r="C265" s="46"/>
      <c r="D265" s="577"/>
      <c r="E265" s="450"/>
      <c r="F265" s="649"/>
      <c r="G265" s="649"/>
    </row>
    <row r="266" spans="1:7" s="108" customFormat="1" ht="13.5" customHeight="1" thickBot="1">
      <c r="A266" s="49" t="s">
        <v>917</v>
      </c>
      <c r="B266" s="205"/>
      <c r="C266" s="119"/>
      <c r="D266" s="136"/>
      <c r="E266" s="452"/>
      <c r="F266" s="649"/>
      <c r="G266" s="649"/>
    </row>
    <row r="267" spans="1:5" s="108" customFormat="1" ht="13.5" customHeight="1">
      <c r="A267" s="52" t="s">
        <v>1365</v>
      </c>
      <c r="B267" s="52"/>
      <c r="C267" s="25"/>
      <c r="D267" s="23"/>
      <c r="E267" s="453"/>
    </row>
    <row r="268" spans="1:5" s="108" customFormat="1" ht="13.5" customHeight="1">
      <c r="A268" s="85" t="s">
        <v>851</v>
      </c>
      <c r="B268" s="52"/>
      <c r="C268" s="25"/>
      <c r="D268" s="23"/>
      <c r="E268" s="453"/>
    </row>
    <row r="269" spans="1:7" s="650" customFormat="1" ht="13.5" customHeight="1">
      <c r="A269" s="85" t="s">
        <v>1421</v>
      </c>
      <c r="B269" s="52"/>
      <c r="C269" s="25"/>
      <c r="D269" s="23"/>
      <c r="E269" s="453"/>
      <c r="F269" s="108"/>
      <c r="G269" s="108"/>
    </row>
    <row r="270" spans="1:5" s="108" customFormat="1" ht="13.5" customHeight="1" thickBot="1">
      <c r="A270" s="111" t="s">
        <v>11</v>
      </c>
      <c r="B270" s="111"/>
      <c r="C270" s="556"/>
      <c r="D270" s="578"/>
      <c r="E270" s="557"/>
    </row>
    <row r="271" spans="1:7" s="108" customFormat="1" ht="13.5" customHeight="1" thickBot="1">
      <c r="A271" s="113" t="s">
        <v>0</v>
      </c>
      <c r="B271" s="651"/>
      <c r="C271" s="62"/>
      <c r="D271" s="114"/>
      <c r="E271" s="112">
        <f>SUM(+C273+C293+C310)</f>
        <v>7964616</v>
      </c>
      <c r="F271" s="225"/>
      <c r="G271" s="33"/>
    </row>
    <row r="272" spans="1:5" s="108" customFormat="1" ht="13.5" customHeight="1" thickBot="1">
      <c r="A272" s="13"/>
      <c r="B272" s="13"/>
      <c r="C272" s="25"/>
      <c r="D272" s="23"/>
      <c r="E272" s="589"/>
    </row>
    <row r="273" spans="1:7" s="108" customFormat="1" ht="13.5" customHeight="1" thickBot="1">
      <c r="A273" s="947" t="s">
        <v>2</v>
      </c>
      <c r="B273" s="948"/>
      <c r="C273" s="38">
        <f>C274+C276+C279+C281+C285+C288</f>
        <v>4043033</v>
      </c>
      <c r="D273" s="102"/>
      <c r="F273" s="650"/>
      <c r="G273" s="650"/>
    </row>
    <row r="274" spans="1:5" s="225" customFormat="1" ht="13.5" customHeight="1">
      <c r="A274" s="12" t="s">
        <v>113</v>
      </c>
      <c r="B274" s="286" t="s">
        <v>852</v>
      </c>
      <c r="C274" s="34">
        <f>SUM(C275)</f>
        <v>3198943</v>
      </c>
      <c r="D274" s="135"/>
      <c r="E274" s="137"/>
    </row>
    <row r="275" spans="1:7" s="57" customFormat="1" ht="13.5" customHeight="1" hidden="1">
      <c r="A275" s="13" t="s">
        <v>50</v>
      </c>
      <c r="B275" s="57" t="s">
        <v>49</v>
      </c>
      <c r="C275" s="821">
        <v>3198943</v>
      </c>
      <c r="E275" s="33"/>
      <c r="G275" s="137"/>
    </row>
    <row r="276" spans="1:7" s="57" customFormat="1" ht="13.5" customHeight="1">
      <c r="A276" s="12" t="s">
        <v>223</v>
      </c>
      <c r="B276" s="791" t="s">
        <v>256</v>
      </c>
      <c r="C276" s="33">
        <f>SUM(C277:C278)</f>
        <v>130380</v>
      </c>
      <c r="E276" s="33"/>
      <c r="G276" s="23"/>
    </row>
    <row r="277" spans="1:18" s="100" customFormat="1" ht="13.5" hidden="1">
      <c r="A277" s="13" t="s">
        <v>271</v>
      </c>
      <c r="B277" s="86" t="s">
        <v>270</v>
      </c>
      <c r="C277" s="822">
        <v>104880</v>
      </c>
      <c r="E277" s="102"/>
      <c r="G277" s="79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1:18" s="100" customFormat="1" ht="13.5" hidden="1">
      <c r="A278" s="13" t="s">
        <v>255</v>
      </c>
      <c r="B278" s="57" t="s">
        <v>254</v>
      </c>
      <c r="C278" s="822">
        <v>25500</v>
      </c>
      <c r="D278" s="102"/>
      <c r="E278" s="102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1:18" s="100" customFormat="1" ht="13.5">
      <c r="A279" s="12" t="s">
        <v>117</v>
      </c>
      <c r="B279" s="791" t="s">
        <v>118</v>
      </c>
      <c r="C279" s="811">
        <f>SUM(C280)</f>
        <v>19100</v>
      </c>
      <c r="D279" s="102"/>
      <c r="E279" s="102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1:18" s="100" customFormat="1" ht="13.5" hidden="1">
      <c r="A280" s="13" t="s">
        <v>51</v>
      </c>
      <c r="B280" s="25" t="s">
        <v>52</v>
      </c>
      <c r="C280" s="821">
        <v>19100</v>
      </c>
      <c r="D280" s="79"/>
      <c r="E280" s="79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1:18" s="100" customFormat="1" ht="13.5">
      <c r="A281" s="353" t="s">
        <v>862</v>
      </c>
      <c r="B281" s="95" t="s">
        <v>821</v>
      </c>
      <c r="C281" s="26">
        <f>SUM(C282:C284)</f>
        <v>93260</v>
      </c>
      <c r="D281" s="79"/>
      <c r="E281" s="79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1:18" s="100" customFormat="1" ht="13.5" hidden="1">
      <c r="A282" s="107" t="s">
        <v>822</v>
      </c>
      <c r="B282" s="86" t="s">
        <v>863</v>
      </c>
      <c r="C282" s="822">
        <v>33660</v>
      </c>
      <c r="D282" s="79"/>
      <c r="E282" s="79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1:18" s="100" customFormat="1" ht="13.5" hidden="1">
      <c r="A283" s="107" t="s">
        <v>824</v>
      </c>
      <c r="B283" s="86" t="s">
        <v>825</v>
      </c>
      <c r="C283" s="822">
        <v>37300</v>
      </c>
      <c r="D283" s="79"/>
      <c r="E283" s="79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1:18" s="100" customFormat="1" ht="13.5" hidden="1">
      <c r="A284" s="107" t="s">
        <v>826</v>
      </c>
      <c r="B284" s="86" t="s">
        <v>864</v>
      </c>
      <c r="C284" s="822">
        <v>22300</v>
      </c>
      <c r="D284" s="102"/>
      <c r="E284" s="79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1:18" s="100" customFormat="1" ht="13.5">
      <c r="A285" s="353" t="s">
        <v>134</v>
      </c>
      <c r="B285" s="26" t="s">
        <v>133</v>
      </c>
      <c r="C285" s="26">
        <f>SUM(C286:C287)</f>
        <v>25700</v>
      </c>
      <c r="D285" s="102"/>
      <c r="E285" s="79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1:18" s="100" customFormat="1" ht="13.5" hidden="1">
      <c r="A286" s="13" t="s">
        <v>277</v>
      </c>
      <c r="B286" s="57" t="s">
        <v>276</v>
      </c>
      <c r="C286" s="821">
        <v>18300</v>
      </c>
      <c r="D286" s="79"/>
      <c r="E286" s="79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1:18" s="100" customFormat="1" ht="13.5" hidden="1">
      <c r="A287" s="13" t="s">
        <v>103</v>
      </c>
      <c r="B287" s="25" t="s">
        <v>78</v>
      </c>
      <c r="C287" s="822">
        <v>7400</v>
      </c>
      <c r="D287" s="102"/>
      <c r="E287" s="102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1:18" s="100" customFormat="1" ht="13.5">
      <c r="A288" s="353" t="s">
        <v>918</v>
      </c>
      <c r="B288" s="33" t="s">
        <v>135</v>
      </c>
      <c r="C288" s="811">
        <f>SUM(C289:C291)</f>
        <v>575650</v>
      </c>
      <c r="D288" s="79"/>
      <c r="E288" s="79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1:18" s="100" customFormat="1" ht="13.5" hidden="1">
      <c r="A289" s="107" t="s">
        <v>170</v>
      </c>
      <c r="B289" s="25" t="s">
        <v>70</v>
      </c>
      <c r="C289" s="822">
        <v>550000</v>
      </c>
      <c r="E289" s="102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1:18" s="100" customFormat="1" ht="13.5" hidden="1">
      <c r="A290" s="107" t="s">
        <v>325</v>
      </c>
      <c r="B290" s="25" t="s">
        <v>326</v>
      </c>
      <c r="C290" s="821">
        <v>11750</v>
      </c>
      <c r="D290" s="79"/>
      <c r="E290" s="79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1:18" s="100" customFormat="1" ht="13.5" hidden="1">
      <c r="A291" s="107" t="s">
        <v>173</v>
      </c>
      <c r="B291" s="25" t="s">
        <v>135</v>
      </c>
      <c r="C291" s="821">
        <v>13900</v>
      </c>
      <c r="D291" s="79"/>
      <c r="E291" s="79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1:5" s="108" customFormat="1" ht="13.5" customHeight="1" thickBot="1">
      <c r="A292" s="107"/>
      <c r="B292" s="107"/>
      <c r="C292" s="24"/>
      <c r="D292" s="116"/>
      <c r="E292" s="24"/>
    </row>
    <row r="293" spans="1:7" s="108" customFormat="1" ht="13.5" customHeight="1" thickBot="1">
      <c r="A293" s="949" t="s">
        <v>3</v>
      </c>
      <c r="B293" s="950"/>
      <c r="C293" s="36">
        <f>C294+C296+C300+C302+C304+C306</f>
        <v>3675732</v>
      </c>
      <c r="D293" s="102"/>
      <c r="F293" s="650"/>
      <c r="G293" s="650"/>
    </row>
    <row r="294" spans="1:7" s="108" customFormat="1" ht="13.5" customHeight="1">
      <c r="A294" s="95" t="s">
        <v>120</v>
      </c>
      <c r="B294" s="286" t="s">
        <v>121</v>
      </c>
      <c r="C294" s="34">
        <f>SUM(C295)</f>
        <v>14100</v>
      </c>
      <c r="D294" s="102"/>
      <c r="E294" s="26"/>
      <c r="F294" s="650"/>
      <c r="G294" s="650"/>
    </row>
    <row r="295" spans="1:18" s="9" customFormat="1" ht="13.5" customHeight="1" hidden="1">
      <c r="A295" s="86" t="s">
        <v>57</v>
      </c>
      <c r="B295" s="86" t="s">
        <v>18</v>
      </c>
      <c r="C295" s="821">
        <v>14100</v>
      </c>
      <c r="D295" s="124"/>
      <c r="E295" s="26"/>
      <c r="F295" s="140"/>
      <c r="G295" s="71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</row>
    <row r="296" spans="1:18" s="100" customFormat="1" ht="13.5">
      <c r="A296" s="95" t="s">
        <v>130</v>
      </c>
      <c r="B296" s="95" t="s">
        <v>131</v>
      </c>
      <c r="C296" s="811">
        <f>SUM(C297:C299)</f>
        <v>89210</v>
      </c>
      <c r="D296" s="87"/>
      <c r="E296" s="79"/>
      <c r="F296" s="79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1:18" s="100" customFormat="1" ht="13.5" customHeight="1" hidden="1">
      <c r="A297" s="86" t="s">
        <v>327</v>
      </c>
      <c r="B297" s="57" t="s">
        <v>328</v>
      </c>
      <c r="C297" s="822">
        <v>48960</v>
      </c>
      <c r="G297" s="87"/>
      <c r="H297" s="79"/>
      <c r="I297" s="79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1:18" s="100" customFormat="1" ht="13.5" customHeight="1" hidden="1">
      <c r="A298" s="86" t="s">
        <v>153</v>
      </c>
      <c r="B298" s="57" t="s">
        <v>154</v>
      </c>
      <c r="C298" s="822">
        <v>26050</v>
      </c>
      <c r="G298" s="87"/>
      <c r="H298" s="79"/>
      <c r="I298" s="79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1:18" s="100" customFormat="1" ht="13.5" customHeight="1" hidden="1">
      <c r="A299" s="86" t="s">
        <v>148</v>
      </c>
      <c r="B299" s="86" t="s">
        <v>77</v>
      </c>
      <c r="C299" s="822">
        <v>14200</v>
      </c>
      <c r="G299" s="87"/>
      <c r="H299" s="79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1:18" s="9" customFormat="1" ht="13.5" customHeight="1">
      <c r="A300" s="95" t="s">
        <v>398</v>
      </c>
      <c r="B300" s="95" t="s">
        <v>399</v>
      </c>
      <c r="C300" s="33">
        <f>SUM(C301)</f>
        <v>720000</v>
      </c>
      <c r="G300" s="252"/>
      <c r="H300" s="33"/>
      <c r="I300" s="140"/>
      <c r="J300" s="71"/>
      <c r="K300" s="57"/>
      <c r="L300" s="57"/>
      <c r="M300" s="57"/>
      <c r="N300" s="57"/>
      <c r="O300" s="57"/>
      <c r="P300" s="57"/>
      <c r="Q300" s="57"/>
      <c r="R300" s="57"/>
    </row>
    <row r="301" spans="1:18" s="9" customFormat="1" ht="13.5" customHeight="1" hidden="1">
      <c r="A301" s="86" t="s">
        <v>404</v>
      </c>
      <c r="B301" s="86" t="s">
        <v>405</v>
      </c>
      <c r="C301" s="821">
        <v>720000</v>
      </c>
      <c r="G301" s="252"/>
      <c r="H301" s="57"/>
      <c r="I301" s="140"/>
      <c r="J301" s="71"/>
      <c r="K301" s="57"/>
      <c r="L301" s="57"/>
      <c r="M301" s="57"/>
      <c r="N301" s="57"/>
      <c r="O301" s="57"/>
      <c r="P301" s="57"/>
      <c r="Q301" s="57"/>
      <c r="R301" s="57"/>
    </row>
    <row r="302" spans="1:18" s="9" customFormat="1" ht="13.5" customHeight="1">
      <c r="A302" s="353" t="s">
        <v>122</v>
      </c>
      <c r="B302" s="95" t="s">
        <v>175</v>
      </c>
      <c r="C302" s="33">
        <f>SUM(C303)</f>
        <v>636187</v>
      </c>
      <c r="G302" s="252"/>
      <c r="H302" s="33"/>
      <c r="I302" s="140"/>
      <c r="J302" s="71"/>
      <c r="K302" s="57"/>
      <c r="L302" s="57"/>
      <c r="M302" s="57"/>
      <c r="N302" s="57"/>
      <c r="O302" s="57"/>
      <c r="P302" s="57"/>
      <c r="Q302" s="57"/>
      <c r="R302" s="57"/>
    </row>
    <row r="303" spans="1:9" s="78" customFormat="1" ht="13.5" customHeight="1" hidden="1">
      <c r="A303" s="107" t="s">
        <v>53</v>
      </c>
      <c r="B303" s="25" t="s">
        <v>97</v>
      </c>
      <c r="C303" s="822">
        <v>636187</v>
      </c>
      <c r="G303" s="79"/>
      <c r="I303" s="79"/>
    </row>
    <row r="304" spans="1:18" s="100" customFormat="1" ht="13.5">
      <c r="A304" s="353" t="s">
        <v>123</v>
      </c>
      <c r="B304" s="33" t="s">
        <v>124</v>
      </c>
      <c r="C304" s="96">
        <f>SUM(C305)</f>
        <v>14500</v>
      </c>
      <c r="G304" s="79"/>
      <c r="H304" s="79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1:9" s="78" customFormat="1" ht="13.5" customHeight="1" hidden="1">
      <c r="A305" s="107" t="s">
        <v>184</v>
      </c>
      <c r="B305" s="86" t="s">
        <v>83</v>
      </c>
      <c r="C305" s="822">
        <v>14500</v>
      </c>
      <c r="G305" s="87"/>
      <c r="H305" s="79"/>
      <c r="I305" s="79"/>
    </row>
    <row r="306" spans="1:9" s="78" customFormat="1" ht="13.5">
      <c r="A306" s="353" t="s">
        <v>125</v>
      </c>
      <c r="B306" s="33" t="s">
        <v>8</v>
      </c>
      <c r="C306" s="96">
        <f>SUM(C307:C308)</f>
        <v>2201735</v>
      </c>
      <c r="G306" s="87"/>
      <c r="H306" s="79"/>
      <c r="I306" s="79"/>
    </row>
    <row r="307" spans="1:7" s="78" customFormat="1" ht="13.5" customHeight="1" hidden="1">
      <c r="A307" s="107" t="s">
        <v>102</v>
      </c>
      <c r="B307" s="25" t="s">
        <v>8</v>
      </c>
      <c r="C307" s="822">
        <v>2098235</v>
      </c>
      <c r="G307" s="79"/>
    </row>
    <row r="308" spans="1:18" s="100" customFormat="1" ht="13.5" customHeight="1" hidden="1">
      <c r="A308" s="107" t="s">
        <v>100</v>
      </c>
      <c r="B308" s="25" t="s">
        <v>7</v>
      </c>
      <c r="C308" s="822">
        <v>103500</v>
      </c>
      <c r="G308" s="137"/>
      <c r="H308" s="288"/>
      <c r="I308" s="79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1:8" s="108" customFormat="1" ht="13.5" customHeight="1" thickBot="1">
      <c r="A309" s="107"/>
      <c r="B309" s="107"/>
      <c r="C309" s="24"/>
      <c r="H309" s="25"/>
    </row>
    <row r="310" spans="1:8" s="108" customFormat="1" ht="13.5" customHeight="1" thickBot="1">
      <c r="A310" s="965" t="s">
        <v>4</v>
      </c>
      <c r="B310" s="966"/>
      <c r="C310" s="32">
        <f>C311+C313+C315+C318</f>
        <v>245851</v>
      </c>
      <c r="G310" s="79"/>
      <c r="H310" s="650"/>
    </row>
    <row r="311" spans="1:5" s="108" customFormat="1" ht="13.5" customHeight="1">
      <c r="A311" s="813" t="s">
        <v>201</v>
      </c>
      <c r="B311" s="286" t="s">
        <v>200</v>
      </c>
      <c r="C311" s="34">
        <f>SUM(C312)</f>
        <v>21450</v>
      </c>
      <c r="D311" s="79"/>
      <c r="E311" s="25"/>
    </row>
    <row r="312" spans="1:8" s="108" customFormat="1" ht="13.5" customHeight="1" hidden="1">
      <c r="A312" s="105" t="s">
        <v>833</v>
      </c>
      <c r="B312" s="105" t="s">
        <v>834</v>
      </c>
      <c r="C312" s="822">
        <v>21450</v>
      </c>
      <c r="G312" s="137"/>
      <c r="H312" s="25"/>
    </row>
    <row r="313" spans="1:8" s="108" customFormat="1" ht="13.5" customHeight="1">
      <c r="A313" s="813" t="s">
        <v>193</v>
      </c>
      <c r="B313" s="812" t="s">
        <v>192</v>
      </c>
      <c r="C313" s="811">
        <f>SUM(C314)</f>
        <v>1</v>
      </c>
      <c r="G313" s="137"/>
      <c r="H313" s="25"/>
    </row>
    <row r="314" spans="1:8" s="108" customFormat="1" ht="13.5" customHeight="1" hidden="1">
      <c r="A314" s="105" t="s">
        <v>191</v>
      </c>
      <c r="B314" s="57" t="s">
        <v>190</v>
      </c>
      <c r="C314" s="822">
        <v>1</v>
      </c>
      <c r="G314" s="137"/>
      <c r="H314" s="25"/>
    </row>
    <row r="315" spans="1:8" s="108" customFormat="1" ht="13.5" customHeight="1">
      <c r="A315" s="12" t="s">
        <v>126</v>
      </c>
      <c r="B315" s="26" t="s">
        <v>127</v>
      </c>
      <c r="C315" s="811">
        <f>SUM(C316:C317)</f>
        <v>216000</v>
      </c>
      <c r="G315" s="137"/>
      <c r="H315" s="25"/>
    </row>
    <row r="316" spans="1:8" s="108" customFormat="1" ht="13.5" customHeight="1" hidden="1">
      <c r="A316" s="107" t="s">
        <v>101</v>
      </c>
      <c r="B316" s="24" t="s">
        <v>152</v>
      </c>
      <c r="C316" s="822">
        <v>21000</v>
      </c>
      <c r="G316" s="137"/>
      <c r="H316" s="25"/>
    </row>
    <row r="317" spans="1:18" s="9" customFormat="1" ht="13.5" hidden="1">
      <c r="A317" s="13" t="s">
        <v>182</v>
      </c>
      <c r="B317" s="25" t="s">
        <v>183</v>
      </c>
      <c r="C317" s="822">
        <f>246000-30000-21000</f>
        <v>195000</v>
      </c>
      <c r="G317" s="137"/>
      <c r="H317" s="57"/>
      <c r="I317" s="108"/>
      <c r="J317" s="57"/>
      <c r="K317" s="57"/>
      <c r="L317" s="57"/>
      <c r="M317" s="57"/>
      <c r="N317" s="57"/>
      <c r="O317" s="57"/>
      <c r="P317" s="57"/>
      <c r="Q317" s="57"/>
      <c r="R317" s="57"/>
    </row>
    <row r="318" spans="1:18" s="9" customFormat="1" ht="13.5">
      <c r="A318" s="353" t="s">
        <v>188</v>
      </c>
      <c r="B318" s="26" t="s">
        <v>146</v>
      </c>
      <c r="C318" s="96">
        <f>SUM(C319)</f>
        <v>8400</v>
      </c>
      <c r="D318" s="116"/>
      <c r="E318" s="24"/>
      <c r="F318" s="108"/>
      <c r="G318" s="108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</row>
    <row r="319" spans="1:18" s="9" customFormat="1" ht="13.5" hidden="1">
      <c r="A319" s="107" t="s">
        <v>189</v>
      </c>
      <c r="B319" s="24" t="s">
        <v>56</v>
      </c>
      <c r="C319" s="822">
        <v>8400</v>
      </c>
      <c r="D319" s="115"/>
      <c r="E319" s="24"/>
      <c r="F319" s="108"/>
      <c r="G319" s="108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</row>
    <row r="320" spans="1:18" s="100" customFormat="1" ht="13.5">
      <c r="A320" s="184"/>
      <c r="B320" s="184"/>
      <c r="E320" s="24"/>
      <c r="F320" s="108"/>
      <c r="G320" s="10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</sheetData>
  <sheetProtection/>
  <mergeCells count="14">
    <mergeCell ref="A14:B14"/>
    <mergeCell ref="A37:B37"/>
    <mergeCell ref="A58:B58"/>
    <mergeCell ref="A78:B78"/>
    <mergeCell ref="A84:B84"/>
    <mergeCell ref="A105:B105"/>
    <mergeCell ref="A293:B293"/>
    <mergeCell ref="A310:B310"/>
    <mergeCell ref="A121:B121"/>
    <mergeCell ref="A137:B137"/>
    <mergeCell ref="A192:B192"/>
    <mergeCell ref="A224:B224"/>
    <mergeCell ref="A250:B250"/>
    <mergeCell ref="A273:B273"/>
  </mergeCells>
  <printOptions/>
  <pageMargins left="0.7874015748031497" right="0.1968503937007874" top="0.7874015748031497" bottom="0.7874015748031497" header="0.3937007874015748" footer="0.1968503937007874"/>
  <pageSetup horizontalDpi="720" verticalDpi="720" orientation="portrait" paperSize="9" r:id="rId1"/>
  <headerFooter>
    <oddHeader>&amp;L&amp;"Arial Narrow,Normal"&amp;8Presupuesto Municipal 2016
&amp;R&amp;"Arial Narrow,Normal"&amp;8MUNICIPALIDAD DE VILLA MARÍA
Secretaría de Ecoomía y Administración</oddHeader>
    <oddFooter>&amp;C&amp;"Arial Narrow,Normal"&amp;8Consejo Municipal de la Salud
Página &amp;P de &amp;N</oddFooter>
  </headerFooter>
  <rowBreaks count="3" manualBreakCount="3">
    <brk id="94" max="4" man="1"/>
    <brk id="191" max="4" man="1"/>
    <brk id="309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593"/>
  <sheetViews>
    <sheetView workbookViewId="0" topLeftCell="B521">
      <selection activeCell="B530" sqref="A530:IV530"/>
    </sheetView>
  </sheetViews>
  <sheetFormatPr defaultColWidth="11.421875" defaultRowHeight="12.75"/>
  <cols>
    <col min="1" max="1" width="9.7109375" style="3" customWidth="1"/>
    <col min="2" max="2" width="46.7109375" style="3" customWidth="1"/>
    <col min="3" max="3" width="12.7109375" style="19" customWidth="1"/>
    <col min="4" max="4" width="10.7109375" style="19" customWidth="1"/>
    <col min="5" max="5" width="13.7109375" style="19" customWidth="1"/>
    <col min="6" max="6" width="18.140625" style="655" customWidth="1"/>
    <col min="7" max="7" width="15.421875" style="1" customWidth="1"/>
    <col min="8" max="13" width="11.421875" style="1" customWidth="1"/>
    <col min="14" max="16384" width="11.421875" style="3" customWidth="1"/>
  </cols>
  <sheetData>
    <row r="1" spans="1:5" ht="12.75">
      <c r="A1" s="110" t="s">
        <v>919</v>
      </c>
      <c r="C1" s="654"/>
      <c r="D1" s="15"/>
      <c r="E1" s="15"/>
    </row>
    <row r="2" spans="1:5" ht="12.75">
      <c r="A2" s="110"/>
      <c r="B2" s="656"/>
      <c r="C2" s="17"/>
      <c r="D2" s="17"/>
      <c r="E2" s="15"/>
    </row>
    <row r="3" spans="1:5" ht="13.5" thickBot="1">
      <c r="A3" s="110"/>
      <c r="B3" s="1"/>
      <c r="C3" s="15"/>
      <c r="D3" s="15"/>
      <c r="E3" s="15"/>
    </row>
    <row r="4" spans="1:6" s="1" customFormat="1" ht="12.75">
      <c r="A4" s="64" t="s">
        <v>1158</v>
      </c>
      <c r="B4" s="221"/>
      <c r="C4" s="65"/>
      <c r="D4" s="67" t="s">
        <v>6</v>
      </c>
      <c r="E4" s="516" t="s">
        <v>920</v>
      </c>
      <c r="F4" s="655"/>
    </row>
    <row r="5" spans="1:6" s="1" customFormat="1" ht="13.5" thickBot="1">
      <c r="A5" s="49"/>
      <c r="B5" s="205"/>
      <c r="C5" s="119"/>
      <c r="D5" s="121"/>
      <c r="E5" s="517"/>
      <c r="F5" s="655"/>
    </row>
    <row r="6" spans="1:6" s="1" customFormat="1" ht="12.75">
      <c r="A6" s="45" t="s">
        <v>921</v>
      </c>
      <c r="B6" s="208"/>
      <c r="C6" s="172"/>
      <c r="D6" s="172"/>
      <c r="E6" s="450"/>
      <c r="F6" s="655"/>
    </row>
    <row r="7" spans="1:6" s="1" customFormat="1" ht="12.75">
      <c r="A7" s="45" t="s">
        <v>922</v>
      </c>
      <c r="B7" s="208"/>
      <c r="C7" s="172"/>
      <c r="D7" s="172"/>
      <c r="E7" s="450"/>
      <c r="F7" s="655"/>
    </row>
    <row r="8" spans="1:6" s="1" customFormat="1" ht="12.75">
      <c r="A8" s="45" t="s">
        <v>923</v>
      </c>
      <c r="B8" s="208"/>
      <c r="C8" s="172"/>
      <c r="D8" s="172"/>
      <c r="E8" s="450"/>
      <c r="F8" s="655"/>
    </row>
    <row r="9" spans="1:6" s="1" customFormat="1" ht="12.75">
      <c r="A9" s="45" t="s">
        <v>924</v>
      </c>
      <c r="B9" s="208"/>
      <c r="C9" s="172"/>
      <c r="D9" s="172"/>
      <c r="E9" s="450"/>
      <c r="F9" s="655"/>
    </row>
    <row r="10" spans="1:6" s="1" customFormat="1" ht="13.5" thickBot="1">
      <c r="A10" s="45" t="s">
        <v>925</v>
      </c>
      <c r="B10" s="208"/>
      <c r="C10" s="172"/>
      <c r="D10" s="172"/>
      <c r="E10" s="450"/>
      <c r="F10" s="655"/>
    </row>
    <row r="11" spans="1:6" s="1" customFormat="1" ht="13.5">
      <c r="A11" s="169" t="s">
        <v>1365</v>
      </c>
      <c r="B11" s="245"/>
      <c r="C11" s="601"/>
      <c r="D11" s="601"/>
      <c r="E11" s="603"/>
      <c r="F11" s="655"/>
    </row>
    <row r="12" spans="1:6" s="1" customFormat="1" ht="13.5">
      <c r="A12" s="52" t="s">
        <v>926</v>
      </c>
      <c r="B12" s="13"/>
      <c r="C12" s="25"/>
      <c r="D12" s="25"/>
      <c r="E12" s="453"/>
      <c r="F12" s="655"/>
    </row>
    <row r="13" spans="1:6" s="1" customFormat="1" ht="13.5">
      <c r="A13" s="52" t="s">
        <v>1421</v>
      </c>
      <c r="B13" s="13"/>
      <c r="C13" s="25"/>
      <c r="D13" s="25"/>
      <c r="E13" s="453"/>
      <c r="F13" s="655"/>
    </row>
    <row r="14" spans="1:6" s="1" customFormat="1" ht="14.25" thickBot="1">
      <c r="A14" s="111" t="s">
        <v>16</v>
      </c>
      <c r="B14" s="196"/>
      <c r="C14" s="556"/>
      <c r="D14" s="556"/>
      <c r="E14" s="557"/>
      <c r="F14" s="655"/>
    </row>
    <row r="15" spans="1:7" s="1" customFormat="1" ht="14.25" thickBot="1">
      <c r="A15" s="54" t="s">
        <v>17</v>
      </c>
      <c r="B15" s="192"/>
      <c r="C15" s="55"/>
      <c r="D15" s="191"/>
      <c r="E15" s="161">
        <f>C17+C40+C55+C75+C80</f>
        <v>13756090</v>
      </c>
      <c r="F15" s="655"/>
      <c r="G15" s="15"/>
    </row>
    <row r="16" spans="1:6" ht="14.25" thickBot="1">
      <c r="A16" s="12"/>
      <c r="B16" s="12"/>
      <c r="C16" s="33"/>
      <c r="D16" s="33"/>
      <c r="F16" s="547"/>
    </row>
    <row r="17" spans="1:6" ht="14.25" thickBot="1">
      <c r="A17" s="945" t="s">
        <v>1</v>
      </c>
      <c r="B17" s="946"/>
      <c r="C17" s="581">
        <f>C18+C25+C32</f>
        <v>13106730</v>
      </c>
      <c r="D17" s="33"/>
      <c r="F17" s="282"/>
    </row>
    <row r="18" spans="1:6" s="1" customFormat="1" ht="13.5">
      <c r="A18" s="12" t="s">
        <v>107</v>
      </c>
      <c r="B18" s="404" t="s">
        <v>108</v>
      </c>
      <c r="C18" s="33">
        <f>SUM(C19:C24)</f>
        <v>6567702</v>
      </c>
      <c r="D18" s="33"/>
      <c r="F18" s="547"/>
    </row>
    <row r="19" spans="1:6" s="1" customFormat="1" ht="13.5" hidden="1">
      <c r="A19" s="13" t="s">
        <v>27</v>
      </c>
      <c r="B19" s="25" t="s">
        <v>24</v>
      </c>
      <c r="C19" s="821">
        <v>5026086</v>
      </c>
      <c r="D19" s="33"/>
      <c r="E19" s="282"/>
      <c r="F19" s="655"/>
    </row>
    <row r="20" spans="1:6" s="1" customFormat="1" ht="13.5" hidden="1">
      <c r="A20" s="13" t="s">
        <v>28</v>
      </c>
      <c r="B20" s="25" t="s">
        <v>26</v>
      </c>
      <c r="C20" s="821">
        <f>983065+219199</f>
        <v>1202264</v>
      </c>
      <c r="D20" s="33"/>
      <c r="E20" s="282"/>
      <c r="F20" s="655"/>
    </row>
    <row r="21" spans="1:13" s="107" customFormat="1" ht="12.75" customHeight="1" hidden="1">
      <c r="A21" s="13" t="s">
        <v>29</v>
      </c>
      <c r="B21" s="25" t="s">
        <v>86</v>
      </c>
      <c r="C21" s="821">
        <f>25000+204079+6051</f>
        <v>235130</v>
      </c>
      <c r="D21" s="580"/>
      <c r="E21" s="583"/>
      <c r="F21" s="657"/>
      <c r="G21" s="539"/>
      <c r="H21" s="13"/>
      <c r="I21" s="13"/>
      <c r="J21" s="13"/>
      <c r="K21" s="13"/>
      <c r="L21" s="13"/>
      <c r="M21" s="13"/>
    </row>
    <row r="22" spans="1:13" s="107" customFormat="1" ht="12.75" customHeight="1" hidden="1">
      <c r="A22" s="13" t="s">
        <v>30</v>
      </c>
      <c r="B22" s="25" t="s">
        <v>87</v>
      </c>
      <c r="C22" s="821">
        <v>1</v>
      </c>
      <c r="D22" s="580"/>
      <c r="E22" s="583"/>
      <c r="F22" s="657"/>
      <c r="G22" s="539"/>
      <c r="H22" s="13"/>
      <c r="I22" s="13"/>
      <c r="J22" s="13"/>
      <c r="K22" s="13"/>
      <c r="L22" s="13"/>
      <c r="M22" s="13"/>
    </row>
    <row r="23" spans="1:13" s="184" customFormat="1" ht="12.75" customHeight="1" hidden="1">
      <c r="A23" s="13" t="s">
        <v>31</v>
      </c>
      <c r="B23" s="25" t="s">
        <v>25</v>
      </c>
      <c r="C23" s="821">
        <f>4200+100020</f>
        <v>104220</v>
      </c>
      <c r="D23" s="580"/>
      <c r="E23" s="583"/>
      <c r="F23" s="657"/>
      <c r="G23" s="539"/>
      <c r="H23" s="106"/>
      <c r="I23" s="106"/>
      <c r="J23" s="106"/>
      <c r="K23" s="106"/>
      <c r="L23" s="106"/>
      <c r="M23" s="106"/>
    </row>
    <row r="24" spans="1:13" s="184" customFormat="1" ht="12.75" customHeight="1" hidden="1">
      <c r="A24" s="13" t="s">
        <v>32</v>
      </c>
      <c r="B24" s="25" t="s">
        <v>23</v>
      </c>
      <c r="C24" s="821">
        <v>1</v>
      </c>
      <c r="D24" s="580"/>
      <c r="E24" s="583"/>
      <c r="F24" s="657"/>
      <c r="G24" s="539"/>
      <c r="H24" s="106"/>
      <c r="I24" s="106"/>
      <c r="J24" s="106"/>
      <c r="K24" s="106"/>
      <c r="L24" s="106"/>
      <c r="M24" s="106"/>
    </row>
    <row r="25" spans="1:13" s="184" customFormat="1" ht="12.75" customHeight="1">
      <c r="A25" s="12" t="s">
        <v>109</v>
      </c>
      <c r="B25" s="33" t="s">
        <v>110</v>
      </c>
      <c r="C25" s="33">
        <f>SUM(C26:C31)</f>
        <v>3535920</v>
      </c>
      <c r="D25" s="580"/>
      <c r="E25" s="583"/>
      <c r="F25" s="657"/>
      <c r="G25" s="539"/>
      <c r="H25" s="106"/>
      <c r="I25" s="106"/>
      <c r="J25" s="106"/>
      <c r="K25" s="106"/>
      <c r="L25" s="106"/>
      <c r="M25" s="106"/>
    </row>
    <row r="26" spans="1:13" s="184" customFormat="1" ht="12.75" customHeight="1" hidden="1">
      <c r="A26" s="13" t="s">
        <v>34</v>
      </c>
      <c r="B26" s="25" t="s">
        <v>88</v>
      </c>
      <c r="C26" s="821">
        <v>2730604</v>
      </c>
      <c r="D26" s="580"/>
      <c r="E26" s="583"/>
      <c r="F26" s="657"/>
      <c r="G26" s="539"/>
      <c r="H26" s="106"/>
      <c r="I26" s="106"/>
      <c r="J26" s="106"/>
      <c r="K26" s="106"/>
      <c r="L26" s="106"/>
      <c r="M26" s="106"/>
    </row>
    <row r="27" spans="1:13" s="184" customFormat="1" ht="12.75" customHeight="1" hidden="1">
      <c r="A27" s="13" t="s">
        <v>35</v>
      </c>
      <c r="B27" s="25" t="s">
        <v>89</v>
      </c>
      <c r="C27" s="821">
        <f>544041+122409</f>
        <v>666450</v>
      </c>
      <c r="D27" s="580"/>
      <c r="E27" s="583"/>
      <c r="F27" s="657"/>
      <c r="G27" s="539"/>
      <c r="H27" s="106"/>
      <c r="I27" s="106"/>
      <c r="J27" s="106"/>
      <c r="K27" s="106"/>
      <c r="L27" s="106"/>
      <c r="M27" s="106"/>
    </row>
    <row r="28" spans="1:13" s="107" customFormat="1" ht="12.75" customHeight="1" hidden="1">
      <c r="A28" s="13" t="s">
        <v>36</v>
      </c>
      <c r="B28" s="25" t="s">
        <v>90</v>
      </c>
      <c r="C28" s="821">
        <f>113757+3575</f>
        <v>117332</v>
      </c>
      <c r="D28" s="580"/>
      <c r="E28" s="583"/>
      <c r="F28" s="657"/>
      <c r="G28" s="539"/>
      <c r="H28" s="13"/>
      <c r="I28" s="13"/>
      <c r="J28" s="13"/>
      <c r="K28" s="13"/>
      <c r="L28" s="13"/>
      <c r="M28" s="13"/>
    </row>
    <row r="29" spans="1:13" s="107" customFormat="1" ht="12.75" customHeight="1" hidden="1">
      <c r="A29" s="13" t="s">
        <v>37</v>
      </c>
      <c r="B29" s="25" t="s">
        <v>91</v>
      </c>
      <c r="C29" s="821">
        <v>1</v>
      </c>
      <c r="D29" s="580"/>
      <c r="E29" s="583"/>
      <c r="F29" s="657"/>
      <c r="G29" s="539"/>
      <c r="H29" s="13"/>
      <c r="I29" s="13"/>
      <c r="J29" s="13"/>
      <c r="K29" s="13"/>
      <c r="L29" s="13"/>
      <c r="M29" s="13"/>
    </row>
    <row r="30" spans="1:13" s="184" customFormat="1" ht="12.75" customHeight="1" hidden="1">
      <c r="A30" s="13" t="s">
        <v>38</v>
      </c>
      <c r="B30" s="25" t="s">
        <v>370</v>
      </c>
      <c r="C30" s="821">
        <f>1400+20132</f>
        <v>21532</v>
      </c>
      <c r="D30" s="580"/>
      <c r="E30" s="583"/>
      <c r="F30" s="657"/>
      <c r="G30" s="539"/>
      <c r="H30" s="106"/>
      <c r="I30" s="106"/>
      <c r="J30" s="106"/>
      <c r="K30" s="106"/>
      <c r="L30" s="106"/>
      <c r="M30" s="106"/>
    </row>
    <row r="31" spans="1:13" s="184" customFormat="1" ht="12.75" customHeight="1" hidden="1">
      <c r="A31" s="13" t="s">
        <v>93</v>
      </c>
      <c r="B31" s="25" t="s">
        <v>92</v>
      </c>
      <c r="C31" s="821">
        <v>1</v>
      </c>
      <c r="D31" s="580"/>
      <c r="E31" s="583"/>
      <c r="F31" s="657"/>
      <c r="G31" s="539"/>
      <c r="H31" s="106"/>
      <c r="I31" s="106"/>
      <c r="J31" s="106"/>
      <c r="K31" s="106"/>
      <c r="L31" s="106"/>
      <c r="M31" s="106"/>
    </row>
    <row r="32" spans="1:13" s="184" customFormat="1" ht="12.75" customHeight="1">
      <c r="A32" s="12" t="s">
        <v>111</v>
      </c>
      <c r="B32" s="33" t="s">
        <v>112</v>
      </c>
      <c r="C32" s="33">
        <f>SUM(C33:C38)</f>
        <v>3003108</v>
      </c>
      <c r="D32" s="580"/>
      <c r="E32" s="583"/>
      <c r="F32" s="657"/>
      <c r="G32" s="539"/>
      <c r="H32" s="106"/>
      <c r="I32" s="106"/>
      <c r="J32" s="106"/>
      <c r="K32" s="106"/>
      <c r="L32" s="106"/>
      <c r="M32" s="106"/>
    </row>
    <row r="33" spans="1:13" s="107" customFormat="1" ht="12.75" customHeight="1" hidden="1">
      <c r="A33" s="13" t="s">
        <v>43</v>
      </c>
      <c r="B33" s="25" t="s">
        <v>39</v>
      </c>
      <c r="C33" s="821">
        <v>2258093</v>
      </c>
      <c r="D33" s="580"/>
      <c r="E33" s="583"/>
      <c r="F33" s="657"/>
      <c r="G33" s="539"/>
      <c r="H33" s="13"/>
      <c r="I33" s="13"/>
      <c r="J33" s="13"/>
      <c r="K33" s="13"/>
      <c r="L33" s="13"/>
      <c r="M33" s="13"/>
    </row>
    <row r="34" spans="1:13" s="107" customFormat="1" ht="12.75" customHeight="1" hidden="1">
      <c r="A34" s="13" t="s">
        <v>44</v>
      </c>
      <c r="B34" s="25" t="s">
        <v>41</v>
      </c>
      <c r="C34" s="821">
        <f>443152+98689</f>
        <v>541841</v>
      </c>
      <c r="D34" s="580"/>
      <c r="E34" s="583"/>
      <c r="F34" s="657"/>
      <c r="G34" s="539"/>
      <c r="H34" s="13"/>
      <c r="I34" s="13"/>
      <c r="J34" s="13"/>
      <c r="K34" s="13"/>
      <c r="L34" s="13"/>
      <c r="M34" s="13"/>
    </row>
    <row r="35" spans="1:13" s="184" customFormat="1" ht="12.75" customHeight="1" hidden="1">
      <c r="A35" s="13" t="s">
        <v>45</v>
      </c>
      <c r="B35" s="25" t="s">
        <v>94</v>
      </c>
      <c r="C35" s="821">
        <f>94228+5776</f>
        <v>100004</v>
      </c>
      <c r="D35" s="580"/>
      <c r="E35" s="583"/>
      <c r="F35" s="657"/>
      <c r="G35" s="539"/>
      <c r="H35" s="106"/>
      <c r="I35" s="106"/>
      <c r="J35" s="106"/>
      <c r="K35" s="106"/>
      <c r="L35" s="106"/>
      <c r="M35" s="106"/>
    </row>
    <row r="36" spans="1:13" s="184" customFormat="1" ht="12.75" customHeight="1" hidden="1">
      <c r="A36" s="13" t="s">
        <v>46</v>
      </c>
      <c r="B36" s="25" t="s">
        <v>95</v>
      </c>
      <c r="C36" s="821">
        <v>1</v>
      </c>
      <c r="D36" s="580"/>
      <c r="E36" s="583"/>
      <c r="F36" s="657"/>
      <c r="G36" s="539"/>
      <c r="H36" s="106"/>
      <c r="I36" s="106"/>
      <c r="J36" s="106"/>
      <c r="K36" s="106"/>
      <c r="L36" s="106"/>
      <c r="M36" s="106"/>
    </row>
    <row r="37" spans="1:13" s="184" customFormat="1" ht="12.75" customHeight="1" hidden="1">
      <c r="A37" s="13" t="s">
        <v>47</v>
      </c>
      <c r="B37" s="25" t="s">
        <v>40</v>
      </c>
      <c r="C37" s="821">
        <f>5600+97568</f>
        <v>103168</v>
      </c>
      <c r="D37" s="580"/>
      <c r="E37" s="583"/>
      <c r="F37" s="657"/>
      <c r="G37" s="539"/>
      <c r="H37" s="106"/>
      <c r="I37" s="106"/>
      <c r="J37" s="106"/>
      <c r="K37" s="106"/>
      <c r="L37" s="106"/>
      <c r="M37" s="106"/>
    </row>
    <row r="38" spans="1:13" s="184" customFormat="1" ht="12.75" customHeight="1" hidden="1">
      <c r="A38" s="13" t="s">
        <v>48</v>
      </c>
      <c r="B38" s="25" t="s">
        <v>42</v>
      </c>
      <c r="C38" s="821">
        <v>1</v>
      </c>
      <c r="D38" s="580"/>
      <c r="E38" s="583"/>
      <c r="F38" s="657"/>
      <c r="G38" s="539"/>
      <c r="H38" s="106"/>
      <c r="I38" s="106"/>
      <c r="J38" s="106"/>
      <c r="K38" s="106"/>
      <c r="L38" s="106"/>
      <c r="M38" s="106"/>
    </row>
    <row r="39" spans="1:13" s="184" customFormat="1" ht="12.75" customHeight="1" thickBot="1">
      <c r="A39" s="13"/>
      <c r="B39" s="25"/>
      <c r="C39" s="25"/>
      <c r="D39" s="580"/>
      <c r="E39" s="583"/>
      <c r="F39" s="657"/>
      <c r="G39" s="539"/>
      <c r="H39" s="106"/>
      <c r="I39" s="106"/>
      <c r="J39" s="106"/>
      <c r="K39" s="106"/>
      <c r="L39" s="106"/>
      <c r="M39" s="106"/>
    </row>
    <row r="40" spans="1:3" ht="14.25" thickBot="1">
      <c r="A40" s="947" t="s">
        <v>2</v>
      </c>
      <c r="B40" s="948"/>
      <c r="C40" s="38">
        <f>C41+C43+C46+C48+C50</f>
        <v>136210</v>
      </c>
    </row>
    <row r="41" spans="1:6" s="527" customFormat="1" ht="13.5">
      <c r="A41" s="12" t="s">
        <v>113</v>
      </c>
      <c r="B41" s="404" t="s">
        <v>114</v>
      </c>
      <c r="C41" s="34">
        <f>SUM(C42)</f>
        <v>31800</v>
      </c>
      <c r="D41" s="526"/>
      <c r="E41" s="526"/>
      <c r="F41" s="588"/>
    </row>
    <row r="42" spans="1:7" s="13" customFormat="1" ht="13.5" customHeight="1" hidden="1">
      <c r="A42" s="13" t="s">
        <v>50</v>
      </c>
      <c r="B42" s="13" t="s">
        <v>49</v>
      </c>
      <c r="C42" s="821">
        <v>31800</v>
      </c>
      <c r="D42" s="585"/>
      <c r="E42" s="531"/>
      <c r="F42" s="659"/>
      <c r="G42" s="575"/>
    </row>
    <row r="43" spans="1:7" s="13" customFormat="1" ht="13.5" customHeight="1">
      <c r="A43" s="12" t="s">
        <v>115</v>
      </c>
      <c r="B43" s="12" t="s">
        <v>116</v>
      </c>
      <c r="C43" s="33">
        <f>SUM(C44:C45)</f>
        <v>35010</v>
      </c>
      <c r="D43" s="580"/>
      <c r="E43" s="531"/>
      <c r="F43" s="659"/>
      <c r="G43" s="575"/>
    </row>
    <row r="44" spans="1:7" s="13" customFormat="1" ht="13.5" customHeight="1" hidden="1">
      <c r="A44" s="13" t="s">
        <v>72</v>
      </c>
      <c r="B44" s="13" t="s">
        <v>73</v>
      </c>
      <c r="C44" s="821">
        <v>8750</v>
      </c>
      <c r="D44" s="585"/>
      <c r="E44" s="531"/>
      <c r="F44" s="659"/>
      <c r="G44" s="575"/>
    </row>
    <row r="45" spans="1:13" s="5" customFormat="1" ht="13.5" hidden="1">
      <c r="A45" s="13" t="s">
        <v>96</v>
      </c>
      <c r="B45" s="107" t="s">
        <v>71</v>
      </c>
      <c r="C45" s="821">
        <v>26260</v>
      </c>
      <c r="D45" s="531"/>
      <c r="E45" s="531"/>
      <c r="F45" s="659"/>
      <c r="G45" s="208"/>
      <c r="H45" s="208"/>
      <c r="I45" s="208"/>
      <c r="J45" s="208"/>
      <c r="K45" s="208"/>
      <c r="L45" s="208"/>
      <c r="M45" s="208"/>
    </row>
    <row r="46" spans="1:13" s="5" customFormat="1" ht="13.5">
      <c r="A46" s="12" t="s">
        <v>117</v>
      </c>
      <c r="B46" s="353" t="s">
        <v>118</v>
      </c>
      <c r="C46" s="33">
        <f>SUM(C47)</f>
        <v>20200</v>
      </c>
      <c r="D46" s="531"/>
      <c r="E46" s="531"/>
      <c r="F46" s="659"/>
      <c r="G46" s="208"/>
      <c r="H46" s="208"/>
      <c r="I46" s="208"/>
      <c r="J46" s="208"/>
      <c r="K46" s="208"/>
      <c r="L46" s="208"/>
      <c r="M46" s="208"/>
    </row>
    <row r="47" spans="1:13" s="5" customFormat="1" ht="13.5" hidden="1">
      <c r="A47" s="13" t="s">
        <v>51</v>
      </c>
      <c r="B47" s="24" t="s">
        <v>52</v>
      </c>
      <c r="C47" s="821">
        <v>20200</v>
      </c>
      <c r="D47" s="531"/>
      <c r="E47" s="531"/>
      <c r="F47" s="659"/>
      <c r="G47" s="575"/>
      <c r="H47" s="208"/>
      <c r="I47" s="208"/>
      <c r="J47" s="208"/>
      <c r="K47" s="208"/>
      <c r="L47" s="208"/>
      <c r="M47" s="208"/>
    </row>
    <row r="48" spans="1:13" s="5" customFormat="1" ht="13.5">
      <c r="A48" s="353" t="s">
        <v>134</v>
      </c>
      <c r="B48" s="33" t="s">
        <v>133</v>
      </c>
      <c r="C48" s="33">
        <f>SUM(C49)</f>
        <v>20800</v>
      </c>
      <c r="D48" s="531"/>
      <c r="E48" s="531"/>
      <c r="F48" s="659"/>
      <c r="G48" s="575"/>
      <c r="H48" s="208"/>
      <c r="I48" s="208"/>
      <c r="J48" s="208"/>
      <c r="K48" s="208"/>
      <c r="L48" s="208"/>
      <c r="M48" s="208"/>
    </row>
    <row r="49" spans="1:13" s="5" customFormat="1" ht="13.5" hidden="1">
      <c r="A49" s="107" t="s">
        <v>103</v>
      </c>
      <c r="B49" s="25" t="s">
        <v>78</v>
      </c>
      <c r="C49" s="821">
        <v>20800</v>
      </c>
      <c r="D49" s="530"/>
      <c r="E49" s="530"/>
      <c r="F49" s="659"/>
      <c r="G49" s="575"/>
      <c r="H49" s="208"/>
      <c r="I49" s="208"/>
      <c r="J49" s="208"/>
      <c r="K49" s="208"/>
      <c r="L49" s="208"/>
      <c r="M49" s="208"/>
    </row>
    <row r="50" spans="1:13" s="5" customFormat="1" ht="13.5">
      <c r="A50" s="353" t="s">
        <v>169</v>
      </c>
      <c r="B50" s="26" t="s">
        <v>135</v>
      </c>
      <c r="C50" s="26">
        <f>SUM(C51:C53)</f>
        <v>28400</v>
      </c>
      <c r="D50" s="530"/>
      <c r="E50" s="530"/>
      <c r="F50" s="659"/>
      <c r="G50" s="575"/>
      <c r="H50" s="208"/>
      <c r="I50" s="208"/>
      <c r="J50" s="208"/>
      <c r="K50" s="208"/>
      <c r="L50" s="208"/>
      <c r="M50" s="208"/>
    </row>
    <row r="51" spans="1:13" s="5" customFormat="1" ht="13.5" hidden="1">
      <c r="A51" s="107" t="s">
        <v>170</v>
      </c>
      <c r="B51" s="25" t="s">
        <v>70</v>
      </c>
      <c r="C51" s="821">
        <v>11200</v>
      </c>
      <c r="D51" s="531"/>
      <c r="E51" s="531"/>
      <c r="F51" s="659"/>
      <c r="G51" s="575"/>
      <c r="H51" s="208"/>
      <c r="I51" s="208"/>
      <c r="J51" s="208"/>
      <c r="K51" s="208"/>
      <c r="L51" s="208"/>
      <c r="M51" s="208"/>
    </row>
    <row r="52" spans="1:13" s="5" customFormat="1" ht="13.5" hidden="1">
      <c r="A52" s="107" t="s">
        <v>171</v>
      </c>
      <c r="B52" s="25" t="s">
        <v>75</v>
      </c>
      <c r="C52" s="821">
        <v>4900</v>
      </c>
      <c r="D52" s="531"/>
      <c r="E52" s="531"/>
      <c r="F52" s="659"/>
      <c r="G52" s="575"/>
      <c r="H52" s="208"/>
      <c r="I52" s="208"/>
      <c r="J52" s="208"/>
      <c r="K52" s="208"/>
      <c r="L52" s="208"/>
      <c r="M52" s="208"/>
    </row>
    <row r="53" spans="1:13" s="5" customFormat="1" ht="13.5" hidden="1">
      <c r="A53" s="107" t="s">
        <v>173</v>
      </c>
      <c r="B53" s="24" t="s">
        <v>135</v>
      </c>
      <c r="C53" s="821">
        <v>12300</v>
      </c>
      <c r="D53" s="531"/>
      <c r="E53" s="531"/>
      <c r="F53" s="659"/>
      <c r="G53" s="575"/>
      <c r="H53" s="208"/>
      <c r="I53" s="208"/>
      <c r="J53" s="208"/>
      <c r="K53" s="208"/>
      <c r="L53" s="208"/>
      <c r="M53" s="208"/>
    </row>
    <row r="54" spans="1:13" s="5" customFormat="1" ht="14.25" thickBot="1">
      <c r="A54" s="107"/>
      <c r="B54" s="24"/>
      <c r="C54" s="25"/>
      <c r="D54" s="531"/>
      <c r="E54" s="531"/>
      <c r="F54" s="659"/>
      <c r="G54" s="575"/>
      <c r="H54" s="208"/>
      <c r="I54" s="208"/>
      <c r="J54" s="208"/>
      <c r="K54" s="208"/>
      <c r="L54" s="208"/>
      <c r="M54" s="208"/>
    </row>
    <row r="55" spans="1:3" ht="14.25" thickBot="1">
      <c r="A55" s="949" t="s">
        <v>3</v>
      </c>
      <c r="B55" s="950"/>
      <c r="C55" s="36">
        <f>C56+C60+C63+C67+C58+C65</f>
        <v>442150</v>
      </c>
    </row>
    <row r="56" spans="1:7" s="527" customFormat="1" ht="13.5">
      <c r="A56" s="353" t="s">
        <v>120</v>
      </c>
      <c r="B56" s="404" t="s">
        <v>121</v>
      </c>
      <c r="C56" s="34">
        <f>SUM(C57)</f>
        <v>34500</v>
      </c>
      <c r="F56" s="526"/>
      <c r="G56" s="526"/>
    </row>
    <row r="57" spans="1:13" s="107" customFormat="1" ht="13.5" customHeight="1" hidden="1">
      <c r="A57" s="107" t="s">
        <v>57</v>
      </c>
      <c r="B57" s="25" t="s">
        <v>18</v>
      </c>
      <c r="C57" s="821">
        <f>39500-5000</f>
        <v>34500</v>
      </c>
      <c r="F57" s="534"/>
      <c r="G57" s="657"/>
      <c r="H57" s="25"/>
      <c r="I57" s="13"/>
      <c r="J57" s="13"/>
      <c r="K57" s="13"/>
      <c r="L57" s="13"/>
      <c r="M57" s="13"/>
    </row>
    <row r="58" spans="1:13" s="107" customFormat="1" ht="13.5" customHeight="1">
      <c r="A58" s="353" t="s">
        <v>927</v>
      </c>
      <c r="B58" s="33" t="s">
        <v>131</v>
      </c>
      <c r="C58" s="33">
        <f>SUM(C59)</f>
        <v>48100</v>
      </c>
      <c r="F58" s="534"/>
      <c r="G58" s="657"/>
      <c r="H58" s="25"/>
      <c r="I58" s="13"/>
      <c r="J58" s="13"/>
      <c r="K58" s="13"/>
      <c r="L58" s="13"/>
      <c r="M58" s="13"/>
    </row>
    <row r="59" spans="1:13" s="107" customFormat="1" ht="13.5" customHeight="1" hidden="1">
      <c r="A59" s="13" t="s">
        <v>148</v>
      </c>
      <c r="B59" s="13" t="s">
        <v>77</v>
      </c>
      <c r="C59" s="821">
        <f>48100</f>
        <v>48100</v>
      </c>
      <c r="F59" s="535"/>
      <c r="G59" s="13"/>
      <c r="H59" s="25"/>
      <c r="I59" s="13"/>
      <c r="J59" s="13"/>
      <c r="K59" s="13"/>
      <c r="L59" s="13"/>
      <c r="M59" s="13"/>
    </row>
    <row r="60" spans="1:13" s="107" customFormat="1" ht="13.5" customHeight="1">
      <c r="A60" s="353" t="s">
        <v>122</v>
      </c>
      <c r="B60" s="33" t="s">
        <v>175</v>
      </c>
      <c r="C60" s="33">
        <f>SUM(C61:C62)</f>
        <v>26500</v>
      </c>
      <c r="F60" s="660"/>
      <c r="G60" s="657"/>
      <c r="H60" s="25"/>
      <c r="I60" s="13"/>
      <c r="J60" s="13"/>
      <c r="K60" s="13"/>
      <c r="L60" s="13"/>
      <c r="M60" s="13"/>
    </row>
    <row r="61" spans="1:13" s="107" customFormat="1" ht="13.5" customHeight="1" hidden="1">
      <c r="A61" s="107" t="s">
        <v>150</v>
      </c>
      <c r="B61" s="13" t="s">
        <v>149</v>
      </c>
      <c r="C61" s="821">
        <v>6500</v>
      </c>
      <c r="F61" s="534"/>
      <c r="G61" s="13"/>
      <c r="H61" s="25"/>
      <c r="I61" s="13"/>
      <c r="J61" s="13"/>
      <c r="K61" s="13"/>
      <c r="L61" s="13"/>
      <c r="M61" s="13"/>
    </row>
    <row r="62" spans="1:13" s="107" customFormat="1" ht="13.5" customHeight="1" hidden="1">
      <c r="A62" s="107" t="s">
        <v>174</v>
      </c>
      <c r="B62" s="13" t="s">
        <v>97</v>
      </c>
      <c r="C62" s="821">
        <v>20000</v>
      </c>
      <c r="F62" s="534"/>
      <c r="G62" s="13"/>
      <c r="H62" s="25"/>
      <c r="I62" s="13"/>
      <c r="J62" s="13"/>
      <c r="K62" s="13"/>
      <c r="L62" s="13"/>
      <c r="M62" s="13"/>
    </row>
    <row r="63" spans="1:13" s="107" customFormat="1" ht="13.5" customHeight="1">
      <c r="A63" s="12" t="s">
        <v>123</v>
      </c>
      <c r="B63" s="12" t="s">
        <v>124</v>
      </c>
      <c r="C63" s="33">
        <f>SUM(C64:C64)</f>
        <v>21750</v>
      </c>
      <c r="F63" s="534"/>
      <c r="G63" s="657"/>
      <c r="H63" s="25"/>
      <c r="I63" s="13"/>
      <c r="J63" s="13"/>
      <c r="K63" s="13"/>
      <c r="L63" s="13"/>
      <c r="M63" s="13"/>
    </row>
    <row r="64" spans="1:13" s="107" customFormat="1" ht="13.5" customHeight="1" hidden="1">
      <c r="A64" s="13" t="s">
        <v>184</v>
      </c>
      <c r="B64" s="13" t="s">
        <v>83</v>
      </c>
      <c r="C64" s="821">
        <v>21750</v>
      </c>
      <c r="F64" s="531"/>
      <c r="G64" s="531"/>
      <c r="H64" s="13"/>
      <c r="I64" s="13"/>
      <c r="J64" s="13"/>
      <c r="K64" s="13"/>
      <c r="L64" s="13"/>
      <c r="M64" s="13"/>
    </row>
    <row r="65" spans="1:13" s="107" customFormat="1" ht="13.5" customHeight="1">
      <c r="A65" s="12" t="s">
        <v>928</v>
      </c>
      <c r="B65" s="12" t="s">
        <v>61</v>
      </c>
      <c r="C65" s="33">
        <f>SUM(C66)</f>
        <v>39500</v>
      </c>
      <c r="F65" s="535"/>
      <c r="G65" s="13"/>
      <c r="H65" s="25"/>
      <c r="I65" s="13"/>
      <c r="J65" s="13"/>
      <c r="K65" s="13"/>
      <c r="L65" s="13"/>
      <c r="M65" s="13"/>
    </row>
    <row r="66" spans="1:13" s="107" customFormat="1" ht="13.5" customHeight="1" hidden="1">
      <c r="A66" s="13" t="s">
        <v>60</v>
      </c>
      <c r="B66" s="13" t="s">
        <v>61</v>
      </c>
      <c r="C66" s="821">
        <v>39500</v>
      </c>
      <c r="F66" s="535"/>
      <c r="G66" s="13"/>
      <c r="H66" s="25"/>
      <c r="I66" s="13"/>
      <c r="J66" s="13"/>
      <c r="K66" s="13"/>
      <c r="L66" s="13"/>
      <c r="M66" s="13"/>
    </row>
    <row r="67" spans="1:13" s="107" customFormat="1" ht="13.5" customHeight="1">
      <c r="A67" s="353" t="s">
        <v>125</v>
      </c>
      <c r="B67" s="33" t="s">
        <v>7</v>
      </c>
      <c r="C67" s="33">
        <f>SUM(C68:C73)</f>
        <v>271800</v>
      </c>
      <c r="F67" s="531"/>
      <c r="G67" s="13"/>
      <c r="H67" s="25"/>
      <c r="I67" s="13"/>
      <c r="J67" s="13"/>
      <c r="K67" s="13"/>
      <c r="L67" s="13"/>
      <c r="M67" s="13"/>
    </row>
    <row r="68" spans="1:13" s="107" customFormat="1" ht="13.5" customHeight="1" hidden="1">
      <c r="A68" s="107" t="s">
        <v>99</v>
      </c>
      <c r="B68" s="25" t="s">
        <v>8</v>
      </c>
      <c r="C68" s="821">
        <f>206300-20000</f>
        <v>186300</v>
      </c>
      <c r="F68" s="534"/>
      <c r="G68" s="531"/>
      <c r="H68" s="13"/>
      <c r="I68" s="13"/>
      <c r="J68" s="13"/>
      <c r="K68" s="13"/>
      <c r="L68" s="13"/>
      <c r="M68" s="13"/>
    </row>
    <row r="69" spans="1:10" s="12" customFormat="1" ht="13.5" customHeight="1" hidden="1">
      <c r="A69" s="107" t="s">
        <v>205</v>
      </c>
      <c r="B69" s="25" t="s">
        <v>54</v>
      </c>
      <c r="C69" s="821">
        <v>44000</v>
      </c>
      <c r="F69" s="535"/>
      <c r="G69" s="531"/>
      <c r="H69" s="13"/>
      <c r="I69" s="13"/>
      <c r="J69" s="13"/>
    </row>
    <row r="70" spans="1:13" s="107" customFormat="1" ht="13.5" customHeight="1" hidden="1">
      <c r="A70" s="107" t="s">
        <v>203</v>
      </c>
      <c r="B70" s="107" t="s">
        <v>202</v>
      </c>
      <c r="C70" s="821">
        <v>9500</v>
      </c>
      <c r="F70" s="531"/>
      <c r="G70" s="531"/>
      <c r="H70" s="12"/>
      <c r="I70" s="12"/>
      <c r="J70" s="12"/>
      <c r="K70" s="13"/>
      <c r="L70" s="13"/>
      <c r="M70" s="13"/>
    </row>
    <row r="71" spans="1:13" s="107" customFormat="1" ht="13.5" customHeight="1" hidden="1">
      <c r="A71" s="107" t="s">
        <v>266</v>
      </c>
      <c r="B71" s="57" t="s">
        <v>1165</v>
      </c>
      <c r="C71" s="821">
        <v>22000</v>
      </c>
      <c r="F71" s="531"/>
      <c r="G71" s="531"/>
      <c r="H71" s="12"/>
      <c r="I71" s="12"/>
      <c r="J71" s="12"/>
      <c r="K71" s="13"/>
      <c r="L71" s="13"/>
      <c r="M71" s="13"/>
    </row>
    <row r="72" spans="1:13" s="107" customFormat="1" ht="13.5" customHeight="1" hidden="1">
      <c r="A72" s="107" t="s">
        <v>242</v>
      </c>
      <c r="B72" s="57" t="s">
        <v>241</v>
      </c>
      <c r="C72" s="821">
        <v>0</v>
      </c>
      <c r="F72" s="535"/>
      <c r="G72" s="531"/>
      <c r="H72" s="12"/>
      <c r="I72" s="12"/>
      <c r="J72" s="12"/>
      <c r="K72" s="13"/>
      <c r="L72" s="13"/>
      <c r="M72" s="13"/>
    </row>
    <row r="73" spans="1:13" s="107" customFormat="1" ht="13.5" customHeight="1" hidden="1">
      <c r="A73" s="107" t="s">
        <v>100</v>
      </c>
      <c r="B73" s="25" t="s">
        <v>7</v>
      </c>
      <c r="C73" s="821">
        <v>10000</v>
      </c>
      <c r="F73" s="531"/>
      <c r="G73" s="531"/>
      <c r="H73" s="13"/>
      <c r="I73" s="13"/>
      <c r="J73" s="25"/>
      <c r="K73" s="13"/>
      <c r="L73" s="13"/>
      <c r="M73" s="13"/>
    </row>
    <row r="74" spans="2:13" s="107" customFormat="1" ht="13.5" customHeight="1" thickBot="1">
      <c r="B74" s="25"/>
      <c r="C74" s="25"/>
      <c r="D74" s="531"/>
      <c r="E74" s="530"/>
      <c r="F74" s="659"/>
      <c r="G74" s="539"/>
      <c r="H74" s="13"/>
      <c r="I74" s="13"/>
      <c r="J74" s="25"/>
      <c r="K74" s="13"/>
      <c r="L74" s="13"/>
      <c r="M74" s="13"/>
    </row>
    <row r="75" spans="1:3" ht="14.25" thickBot="1">
      <c r="A75" s="953" t="s">
        <v>5</v>
      </c>
      <c r="B75" s="954"/>
      <c r="C75" s="37">
        <f>SUM(C76)</f>
        <v>30000</v>
      </c>
    </row>
    <row r="76" spans="1:6" s="527" customFormat="1" ht="13.5">
      <c r="A76" s="353" t="s">
        <v>139</v>
      </c>
      <c r="B76" s="404" t="s">
        <v>140</v>
      </c>
      <c r="C76" s="34">
        <f>SUM(C77:C78)</f>
        <v>30000</v>
      </c>
      <c r="D76" s="526"/>
      <c r="E76" s="526"/>
      <c r="F76" s="588"/>
    </row>
    <row r="77" spans="1:3" ht="13.5" hidden="1">
      <c r="A77" s="107" t="s">
        <v>929</v>
      </c>
      <c r="B77" s="107" t="s">
        <v>930</v>
      </c>
      <c r="C77" s="821">
        <v>15000</v>
      </c>
    </row>
    <row r="78" spans="1:3" ht="13.5" hidden="1">
      <c r="A78" s="107" t="s">
        <v>157</v>
      </c>
      <c r="B78" s="107" t="s">
        <v>12</v>
      </c>
      <c r="C78" s="821">
        <v>15000</v>
      </c>
    </row>
    <row r="79" spans="1:3" ht="14.25" thickBot="1">
      <c r="A79" s="107"/>
      <c r="B79" s="107"/>
      <c r="C79" s="24"/>
    </row>
    <row r="80" spans="1:3" ht="14.25" thickBot="1">
      <c r="A80" s="951" t="s">
        <v>4</v>
      </c>
      <c r="B80" s="952"/>
      <c r="C80" s="662">
        <f>C81+C84</f>
        <v>41000</v>
      </c>
    </row>
    <row r="81" spans="1:6" s="527" customFormat="1" ht="13.5">
      <c r="A81" s="353" t="s">
        <v>126</v>
      </c>
      <c r="B81" s="404" t="s">
        <v>127</v>
      </c>
      <c r="C81" s="34">
        <f>SUM(C82:C83)</f>
        <v>36000</v>
      </c>
      <c r="D81" s="526"/>
      <c r="E81" s="526"/>
      <c r="F81" s="588"/>
    </row>
    <row r="82" spans="1:13" s="5" customFormat="1" ht="13.5" hidden="1">
      <c r="A82" s="107" t="s">
        <v>101</v>
      </c>
      <c r="B82" s="107" t="s">
        <v>152</v>
      </c>
      <c r="C82" s="821">
        <v>20500</v>
      </c>
      <c r="D82" s="530"/>
      <c r="E82" s="530"/>
      <c r="F82" s="659"/>
      <c r="G82" s="575"/>
      <c r="H82" s="208"/>
      <c r="I82" s="208"/>
      <c r="J82" s="208"/>
      <c r="K82" s="208"/>
      <c r="L82" s="208"/>
      <c r="M82" s="208"/>
    </row>
    <row r="83" spans="1:13" s="5" customFormat="1" ht="13.5" hidden="1">
      <c r="A83" s="107" t="s">
        <v>62</v>
      </c>
      <c r="B83" s="13" t="s">
        <v>63</v>
      </c>
      <c r="C83" s="821">
        <v>15500</v>
      </c>
      <c r="D83" s="530"/>
      <c r="E83" s="530"/>
      <c r="F83" s="659"/>
      <c r="G83" s="575"/>
      <c r="H83" s="208"/>
      <c r="I83" s="208"/>
      <c r="J83" s="208"/>
      <c r="K83" s="208"/>
      <c r="L83" s="208"/>
      <c r="M83" s="208"/>
    </row>
    <row r="84" spans="1:13" s="5" customFormat="1" ht="13.5">
      <c r="A84" s="353" t="s">
        <v>188</v>
      </c>
      <c r="B84" s="26" t="s">
        <v>145</v>
      </c>
      <c r="C84" s="33">
        <f>SUM(C85)</f>
        <v>5000</v>
      </c>
      <c r="D84" s="530"/>
      <c r="E84" s="530"/>
      <c r="F84" s="659"/>
      <c r="G84" s="575"/>
      <c r="H84" s="208"/>
      <c r="I84" s="208"/>
      <c r="J84" s="208"/>
      <c r="K84" s="208"/>
      <c r="L84" s="208"/>
      <c r="M84" s="208"/>
    </row>
    <row r="85" spans="1:13" s="5" customFormat="1" ht="13.5" hidden="1">
      <c r="A85" s="107" t="s">
        <v>189</v>
      </c>
      <c r="B85" s="24" t="s">
        <v>56</v>
      </c>
      <c r="C85" s="821">
        <v>5000</v>
      </c>
      <c r="D85" s="530"/>
      <c r="E85" s="530"/>
      <c r="F85" s="659"/>
      <c r="G85" s="575"/>
      <c r="H85" s="208"/>
      <c r="I85" s="208"/>
      <c r="J85" s="208"/>
      <c r="K85" s="208"/>
      <c r="L85" s="208"/>
      <c r="M85" s="208"/>
    </row>
    <row r="86" spans="1:13" s="5" customFormat="1" ht="13.5">
      <c r="A86" s="107"/>
      <c r="B86" s="24"/>
      <c r="C86" s="25"/>
      <c r="D86" s="530"/>
      <c r="E86" s="530"/>
      <c r="F86" s="659"/>
      <c r="G86" s="575"/>
      <c r="H86" s="208"/>
      <c r="I86" s="208"/>
      <c r="J86" s="208"/>
      <c r="K86" s="208"/>
      <c r="L86" s="208"/>
      <c r="M86" s="208"/>
    </row>
    <row r="87" spans="1:3" ht="14.25" thickBot="1">
      <c r="A87" s="110"/>
      <c r="C87" s="657"/>
    </row>
    <row r="88" spans="1:5" ht="12.75">
      <c r="A88" s="64" t="s">
        <v>1394</v>
      </c>
      <c r="B88" s="221"/>
      <c r="C88" s="65"/>
      <c r="D88" s="67" t="s">
        <v>6</v>
      </c>
      <c r="E88" s="516" t="s">
        <v>931</v>
      </c>
    </row>
    <row r="89" spans="1:5" ht="13.5" thickBot="1">
      <c r="A89" s="45"/>
      <c r="B89" s="820"/>
      <c r="C89" s="172"/>
      <c r="D89" s="447"/>
      <c r="E89" s="542"/>
    </row>
    <row r="90" spans="1:6" s="1" customFormat="1" ht="12.75">
      <c r="A90" s="64" t="s">
        <v>932</v>
      </c>
      <c r="B90" s="221"/>
      <c r="C90" s="65"/>
      <c r="D90" s="65"/>
      <c r="E90" s="449"/>
      <c r="F90" s="655"/>
    </row>
    <row r="91" spans="1:6" s="1" customFormat="1" ht="12.75">
      <c r="A91" s="45" t="s">
        <v>933</v>
      </c>
      <c r="B91" s="208"/>
      <c r="C91" s="172"/>
      <c r="D91" s="172"/>
      <c r="E91" s="450"/>
      <c r="F91" s="655"/>
    </row>
    <row r="92" spans="1:6" s="1" customFormat="1" ht="12.75">
      <c r="A92" s="45" t="s">
        <v>934</v>
      </c>
      <c r="B92" s="208"/>
      <c r="C92" s="172"/>
      <c r="D92" s="172"/>
      <c r="E92" s="450"/>
      <c r="F92" s="655"/>
    </row>
    <row r="93" spans="1:6" s="1" customFormat="1" ht="12.75">
      <c r="A93" s="45" t="s">
        <v>935</v>
      </c>
      <c r="B93" s="208"/>
      <c r="C93" s="172"/>
      <c r="D93" s="172"/>
      <c r="E93" s="450"/>
      <c r="F93" s="655"/>
    </row>
    <row r="94" spans="1:6" s="1" customFormat="1" ht="12.75">
      <c r="A94" s="45" t="s">
        <v>936</v>
      </c>
      <c r="B94" s="208"/>
      <c r="C94" s="172"/>
      <c r="D94" s="172"/>
      <c r="E94" s="212"/>
      <c r="F94" s="655"/>
    </row>
    <row r="95" spans="1:6" s="1" customFormat="1" ht="12.75">
      <c r="A95" s="45" t="s">
        <v>937</v>
      </c>
      <c r="B95" s="208"/>
      <c r="C95" s="172"/>
      <c r="D95" s="172"/>
      <c r="E95" s="212"/>
      <c r="F95" s="655"/>
    </row>
    <row r="96" spans="1:6" s="1" customFormat="1" ht="12.75">
      <c r="A96" s="45" t="s">
        <v>938</v>
      </c>
      <c r="B96" s="208"/>
      <c r="C96" s="172"/>
      <c r="D96" s="172"/>
      <c r="E96" s="450"/>
      <c r="F96" s="655"/>
    </row>
    <row r="97" spans="1:6" s="1" customFormat="1" ht="12.75">
      <c r="A97" s="45" t="s">
        <v>939</v>
      </c>
      <c r="B97" s="208"/>
      <c r="C97" s="172"/>
      <c r="D97" s="172"/>
      <c r="E97" s="450"/>
      <c r="F97" s="655"/>
    </row>
    <row r="98" spans="1:6" s="1" customFormat="1" ht="12.75">
      <c r="A98" s="45" t="s">
        <v>940</v>
      </c>
      <c r="B98" s="208"/>
      <c r="C98" s="172"/>
      <c r="D98" s="172"/>
      <c r="E98" s="450"/>
      <c r="F98" s="655"/>
    </row>
    <row r="99" spans="1:5" s="1" customFormat="1" ht="12.75">
      <c r="A99" s="45" t="s">
        <v>941</v>
      </c>
      <c r="B99" s="208"/>
      <c r="C99" s="172"/>
      <c r="D99" s="172"/>
      <c r="E99" s="450"/>
    </row>
    <row r="100" spans="1:5" s="1" customFormat="1" ht="12.75">
      <c r="A100" s="45" t="s">
        <v>942</v>
      </c>
      <c r="B100" s="208"/>
      <c r="C100" s="172"/>
      <c r="D100" s="172"/>
      <c r="E100" s="450"/>
    </row>
    <row r="101" spans="1:5" s="1" customFormat="1" ht="12.75">
      <c r="A101" s="45" t="s">
        <v>943</v>
      </c>
      <c r="B101" s="208"/>
      <c r="C101" s="172"/>
      <c r="D101" s="172"/>
      <c r="E101" s="450"/>
    </row>
    <row r="102" spans="1:6" s="1" customFormat="1" ht="12.75">
      <c r="A102" s="45" t="s">
        <v>944</v>
      </c>
      <c r="B102" s="208"/>
      <c r="C102" s="172"/>
      <c r="D102" s="577"/>
      <c r="E102" s="542"/>
      <c r="F102" s="655"/>
    </row>
    <row r="103" spans="1:6" s="1" customFormat="1" ht="12.75">
      <c r="A103" s="45" t="s">
        <v>945</v>
      </c>
      <c r="B103" s="208"/>
      <c r="C103" s="172"/>
      <c r="D103" s="172"/>
      <c r="E103" s="450"/>
      <c r="F103" s="655"/>
    </row>
    <row r="104" spans="1:6" s="1" customFormat="1" ht="12.75">
      <c r="A104" s="45" t="s">
        <v>946</v>
      </c>
      <c r="B104" s="208"/>
      <c r="C104" s="172"/>
      <c r="D104" s="172"/>
      <c r="E104" s="450"/>
      <c r="F104" s="655"/>
    </row>
    <row r="105" spans="1:6" s="1" customFormat="1" ht="12.75">
      <c r="A105" s="45" t="s">
        <v>947</v>
      </c>
      <c r="B105" s="208"/>
      <c r="C105" s="172"/>
      <c r="D105" s="172"/>
      <c r="E105" s="450"/>
      <c r="F105" s="655"/>
    </row>
    <row r="106" spans="1:6" s="1" customFormat="1" ht="13.5">
      <c r="A106" s="45" t="s">
        <v>948</v>
      </c>
      <c r="B106" s="208"/>
      <c r="C106" s="172"/>
      <c r="D106" s="172"/>
      <c r="E106" s="450"/>
      <c r="F106" s="657"/>
    </row>
    <row r="107" spans="1:6" s="1" customFormat="1" ht="14.25" thickBot="1">
      <c r="A107" s="49" t="s">
        <v>949</v>
      </c>
      <c r="B107" s="205"/>
      <c r="C107" s="119"/>
      <c r="D107" s="119"/>
      <c r="E107" s="452"/>
      <c r="F107" s="657"/>
    </row>
    <row r="108" spans="1:6" s="1" customFormat="1" ht="13.5">
      <c r="A108" s="52" t="s">
        <v>1365</v>
      </c>
      <c r="B108" s="13"/>
      <c r="C108" s="25"/>
      <c r="D108" s="25"/>
      <c r="E108" s="453"/>
      <c r="F108" s="655"/>
    </row>
    <row r="109" spans="1:6" s="1" customFormat="1" ht="13.5">
      <c r="A109" s="52" t="s">
        <v>950</v>
      </c>
      <c r="B109" s="13"/>
      <c r="C109" s="25"/>
      <c r="D109" s="25"/>
      <c r="E109" s="453"/>
      <c r="F109" s="655"/>
    </row>
    <row r="110" spans="1:6" s="1" customFormat="1" ht="13.5">
      <c r="A110" s="52" t="s">
        <v>1421</v>
      </c>
      <c r="B110" s="13"/>
      <c r="C110" s="25"/>
      <c r="D110" s="25"/>
      <c r="E110" s="453"/>
      <c r="F110" s="655"/>
    </row>
    <row r="111" spans="1:6" s="1" customFormat="1" ht="14.25" thickBot="1">
      <c r="A111" s="111" t="s">
        <v>16</v>
      </c>
      <c r="B111" s="196"/>
      <c r="C111" s="556"/>
      <c r="D111" s="556"/>
      <c r="E111" s="557"/>
      <c r="F111" s="655"/>
    </row>
    <row r="112" spans="1:7" s="1" customFormat="1" ht="14.25" thickBot="1">
      <c r="A112" s="54" t="s">
        <v>17</v>
      </c>
      <c r="B112" s="192"/>
      <c r="C112" s="55"/>
      <c r="D112" s="191"/>
      <c r="E112" s="161">
        <f>+C114+C131+C151+C161</f>
        <v>4230750</v>
      </c>
      <c r="F112" s="655"/>
      <c r="G112" s="15"/>
    </row>
    <row r="113" spans="1:6" ht="14.25" thickBot="1">
      <c r="A113" s="110"/>
      <c r="E113" s="547"/>
      <c r="F113" s="547"/>
    </row>
    <row r="114" spans="1:6" ht="14.25" thickBot="1">
      <c r="A114" s="947" t="s">
        <v>2</v>
      </c>
      <c r="B114" s="948"/>
      <c r="C114" s="38">
        <f>C115+C117+C119+C121+C125+C127</f>
        <v>153750</v>
      </c>
      <c r="E114" s="282"/>
      <c r="F114" s="282"/>
    </row>
    <row r="115" spans="1:6" s="527" customFormat="1" ht="13.5">
      <c r="A115" s="12" t="s">
        <v>113</v>
      </c>
      <c r="B115" s="404" t="s">
        <v>114</v>
      </c>
      <c r="C115" s="34">
        <f>SUM(C116)</f>
        <v>25450</v>
      </c>
      <c r="D115" s="526"/>
      <c r="E115" s="526"/>
      <c r="F115" s="588"/>
    </row>
    <row r="116" spans="1:7" s="13" customFormat="1" ht="13.5" customHeight="1" hidden="1">
      <c r="A116" s="13" t="s">
        <v>50</v>
      </c>
      <c r="B116" s="13" t="s">
        <v>49</v>
      </c>
      <c r="C116" s="821">
        <v>25450</v>
      </c>
      <c r="D116" s="585"/>
      <c r="E116" s="531"/>
      <c r="F116" s="659"/>
      <c r="G116" s="575"/>
    </row>
    <row r="117" spans="1:6" s="1" customFormat="1" ht="13.5">
      <c r="A117" s="12" t="s">
        <v>223</v>
      </c>
      <c r="B117" s="404" t="s">
        <v>256</v>
      </c>
      <c r="C117" s="33">
        <f>SUM(C118)</f>
        <v>35000</v>
      </c>
      <c r="D117" s="15"/>
      <c r="E117" s="587"/>
      <c r="F117" s="587"/>
    </row>
    <row r="118" spans="1:8" s="1" customFormat="1" ht="13.5" hidden="1">
      <c r="A118" s="13" t="s">
        <v>221</v>
      </c>
      <c r="B118" s="57" t="s">
        <v>220</v>
      </c>
      <c r="C118" s="821">
        <v>35000</v>
      </c>
      <c r="F118" s="554"/>
      <c r="G118" s="587"/>
      <c r="H118" s="655"/>
    </row>
    <row r="119" spans="1:9" s="13" customFormat="1" ht="13.5" customHeight="1">
      <c r="A119" s="12" t="s">
        <v>115</v>
      </c>
      <c r="B119" s="12" t="s">
        <v>116</v>
      </c>
      <c r="C119" s="33">
        <f>SUM(C120)</f>
        <v>40500</v>
      </c>
      <c r="F119" s="585"/>
      <c r="G119" s="531"/>
      <c r="H119" s="659"/>
      <c r="I119" s="575"/>
    </row>
    <row r="120" spans="1:13" s="5" customFormat="1" ht="13.5" hidden="1">
      <c r="A120" s="13" t="s">
        <v>96</v>
      </c>
      <c r="B120" s="107" t="s">
        <v>71</v>
      </c>
      <c r="C120" s="821">
        <f>45500-5000</f>
        <v>40500</v>
      </c>
      <c r="F120" s="585"/>
      <c r="G120" s="531"/>
      <c r="H120" s="659"/>
      <c r="I120" s="208"/>
      <c r="J120" s="208"/>
      <c r="K120" s="208"/>
      <c r="L120" s="208"/>
      <c r="M120" s="208"/>
    </row>
    <row r="121" spans="1:9" s="13" customFormat="1" ht="13.5" customHeight="1">
      <c r="A121" s="12" t="s">
        <v>117</v>
      </c>
      <c r="B121" s="353" t="s">
        <v>118</v>
      </c>
      <c r="C121" s="33">
        <f>SUM(C122:C124)</f>
        <v>36800</v>
      </c>
      <c r="F121" s="585"/>
      <c r="G121" s="531"/>
      <c r="H121" s="659"/>
      <c r="I121" s="575"/>
    </row>
    <row r="122" spans="1:13" s="5" customFormat="1" ht="13.5" hidden="1">
      <c r="A122" s="13" t="s">
        <v>51</v>
      </c>
      <c r="B122" s="24" t="s">
        <v>52</v>
      </c>
      <c r="C122" s="821">
        <f>16200-3000</f>
        <v>13200</v>
      </c>
      <c r="F122" s="663"/>
      <c r="G122" s="531"/>
      <c r="H122" s="659"/>
      <c r="I122" s="575"/>
      <c r="J122" s="208"/>
      <c r="K122" s="208"/>
      <c r="L122" s="208"/>
      <c r="M122" s="208"/>
    </row>
    <row r="123" spans="1:13" s="5" customFormat="1" ht="13.5" hidden="1">
      <c r="A123" s="13" t="s">
        <v>749</v>
      </c>
      <c r="B123" s="57" t="s">
        <v>750</v>
      </c>
      <c r="C123" s="821">
        <f>17950-3000</f>
        <v>14950</v>
      </c>
      <c r="F123" s="663"/>
      <c r="G123" s="531"/>
      <c r="H123" s="659"/>
      <c r="I123" s="575"/>
      <c r="J123" s="208"/>
      <c r="K123" s="208"/>
      <c r="L123" s="208"/>
      <c r="M123" s="208"/>
    </row>
    <row r="124" spans="1:13" s="5" customFormat="1" ht="13.5" hidden="1">
      <c r="A124" s="13" t="s">
        <v>751</v>
      </c>
      <c r="B124" s="57" t="s">
        <v>752</v>
      </c>
      <c r="C124" s="821">
        <v>8650</v>
      </c>
      <c r="F124" s="663"/>
      <c r="G124" s="531"/>
      <c r="H124" s="659"/>
      <c r="I124" s="575"/>
      <c r="J124" s="208"/>
      <c r="K124" s="208"/>
      <c r="L124" s="208"/>
      <c r="M124" s="208"/>
    </row>
    <row r="125" spans="1:13" s="5" customFormat="1" ht="13.5">
      <c r="A125" s="353" t="s">
        <v>134</v>
      </c>
      <c r="B125" s="33" t="s">
        <v>133</v>
      </c>
      <c r="C125" s="33">
        <f>SUM(C126)</f>
        <v>4500</v>
      </c>
      <c r="F125" s="663"/>
      <c r="G125" s="531"/>
      <c r="H125" s="659"/>
      <c r="I125" s="575"/>
      <c r="J125" s="208"/>
      <c r="K125" s="208"/>
      <c r="L125" s="208"/>
      <c r="M125" s="208"/>
    </row>
    <row r="126" spans="1:13" s="5" customFormat="1" ht="13.5" hidden="1">
      <c r="A126" s="107" t="s">
        <v>103</v>
      </c>
      <c r="B126" s="25" t="s">
        <v>78</v>
      </c>
      <c r="C126" s="821">
        <v>4500</v>
      </c>
      <c r="F126" s="585"/>
      <c r="G126" s="531"/>
      <c r="H126" s="659"/>
      <c r="I126" s="575"/>
      <c r="J126" s="208"/>
      <c r="K126" s="208"/>
      <c r="L126" s="208"/>
      <c r="M126" s="208"/>
    </row>
    <row r="127" spans="1:13" s="5" customFormat="1" ht="13.5">
      <c r="A127" s="353" t="s">
        <v>169</v>
      </c>
      <c r="B127" s="26" t="s">
        <v>135</v>
      </c>
      <c r="C127" s="26">
        <f>SUM(C128:C129)</f>
        <v>11500</v>
      </c>
      <c r="F127" s="585"/>
      <c r="G127" s="531"/>
      <c r="H127" s="659"/>
      <c r="I127" s="575"/>
      <c r="J127" s="208"/>
      <c r="K127" s="208"/>
      <c r="L127" s="208"/>
      <c r="M127" s="208"/>
    </row>
    <row r="128" spans="1:13" s="5" customFormat="1" ht="13.5" hidden="1">
      <c r="A128" s="107" t="s">
        <v>171</v>
      </c>
      <c r="B128" s="25" t="s">
        <v>75</v>
      </c>
      <c r="C128" s="821">
        <v>5000</v>
      </c>
      <c r="F128" s="585"/>
      <c r="G128" s="531"/>
      <c r="H128" s="659"/>
      <c r="I128" s="575"/>
      <c r="J128" s="208"/>
      <c r="K128" s="208"/>
      <c r="L128" s="208"/>
      <c r="M128" s="208"/>
    </row>
    <row r="129" spans="1:13" s="5" customFormat="1" ht="13.5" hidden="1">
      <c r="A129" s="107" t="s">
        <v>173</v>
      </c>
      <c r="B129" s="24" t="s">
        <v>135</v>
      </c>
      <c r="C129" s="821">
        <v>6500</v>
      </c>
      <c r="F129" s="585"/>
      <c r="G129" s="531"/>
      <c r="H129" s="659"/>
      <c r="I129" s="575"/>
      <c r="J129" s="208"/>
      <c r="K129" s="208"/>
      <c r="L129" s="208"/>
      <c r="M129" s="208"/>
    </row>
    <row r="130" spans="1:13" s="5" customFormat="1" ht="14.25" thickBot="1">
      <c r="A130" s="107"/>
      <c r="B130" s="25"/>
      <c r="C130" s="24"/>
      <c r="F130" s="585"/>
      <c r="G130" s="531"/>
      <c r="H130" s="659"/>
      <c r="I130" s="575"/>
      <c r="J130" s="208"/>
      <c r="K130" s="208"/>
      <c r="L130" s="208"/>
      <c r="M130" s="208"/>
    </row>
    <row r="131" spans="1:8" ht="14.25" thickBot="1">
      <c r="A131" s="949" t="s">
        <v>3</v>
      </c>
      <c r="B131" s="950"/>
      <c r="C131" s="36">
        <f>C132+C135+C137+C140+C144</f>
        <v>1142500</v>
      </c>
      <c r="F131" s="554"/>
      <c r="G131" s="15"/>
      <c r="H131" s="655"/>
    </row>
    <row r="132" spans="1:8" s="527" customFormat="1" ht="13.5">
      <c r="A132" s="353" t="s">
        <v>120</v>
      </c>
      <c r="B132" s="404" t="s">
        <v>121</v>
      </c>
      <c r="C132" s="34">
        <f>SUM(C133:C134)</f>
        <v>13500</v>
      </c>
      <c r="F132" s="526"/>
      <c r="G132" s="526"/>
      <c r="H132" s="588"/>
    </row>
    <row r="133" spans="1:13" s="107" customFormat="1" ht="13.5" customHeight="1" hidden="1">
      <c r="A133" s="107" t="s">
        <v>57</v>
      </c>
      <c r="B133" s="25" t="s">
        <v>18</v>
      </c>
      <c r="C133" s="821">
        <v>13500</v>
      </c>
      <c r="F133" s="531"/>
      <c r="G133" s="531"/>
      <c r="H133" s="659"/>
      <c r="I133" s="539"/>
      <c r="J133" s="25"/>
      <c r="K133" s="13"/>
      <c r="L133" s="13"/>
      <c r="M133" s="13"/>
    </row>
    <row r="134" spans="1:13" s="107" customFormat="1" ht="13.5" customHeight="1" hidden="1">
      <c r="A134" s="107" t="s">
        <v>717</v>
      </c>
      <c r="B134" s="25" t="s">
        <v>718</v>
      </c>
      <c r="C134" s="821">
        <v>0</v>
      </c>
      <c r="F134" s="531"/>
      <c r="G134" s="531"/>
      <c r="H134" s="659"/>
      <c r="I134" s="539"/>
      <c r="J134" s="25"/>
      <c r="K134" s="13"/>
      <c r="L134" s="13"/>
      <c r="M134" s="13"/>
    </row>
    <row r="135" spans="1:13" s="107" customFormat="1" ht="13.5" customHeight="1">
      <c r="A135" s="12" t="s">
        <v>130</v>
      </c>
      <c r="B135" s="33" t="s">
        <v>131</v>
      </c>
      <c r="C135" s="33">
        <f>SUM(C136)</f>
        <v>5500</v>
      </c>
      <c r="F135" s="531"/>
      <c r="G135" s="531"/>
      <c r="H135" s="659"/>
      <c r="I135" s="539"/>
      <c r="J135" s="25"/>
      <c r="K135" s="13"/>
      <c r="L135" s="13"/>
      <c r="M135" s="13"/>
    </row>
    <row r="136" spans="1:13" s="107" customFormat="1" ht="13.5" customHeight="1" hidden="1">
      <c r="A136" s="13" t="s">
        <v>148</v>
      </c>
      <c r="B136" s="13" t="s">
        <v>77</v>
      </c>
      <c r="C136" s="821">
        <v>5500</v>
      </c>
      <c r="F136" s="531"/>
      <c r="G136" s="531"/>
      <c r="H136" s="659"/>
      <c r="I136" s="539"/>
      <c r="J136" s="25"/>
      <c r="K136" s="13"/>
      <c r="L136" s="13"/>
      <c r="M136" s="13"/>
    </row>
    <row r="137" spans="1:13" s="107" customFormat="1" ht="13.5" customHeight="1">
      <c r="A137" s="353" t="s">
        <v>122</v>
      </c>
      <c r="B137" s="33" t="s">
        <v>175</v>
      </c>
      <c r="C137" s="33">
        <f>SUM(C138:C139)</f>
        <v>298400</v>
      </c>
      <c r="F137" s="531"/>
      <c r="G137" s="531"/>
      <c r="H137" s="659"/>
      <c r="I137" s="539"/>
      <c r="J137" s="25"/>
      <c r="K137" s="13"/>
      <c r="L137" s="13"/>
      <c r="M137" s="13"/>
    </row>
    <row r="138" spans="1:13" s="107" customFormat="1" ht="13.5" customHeight="1" hidden="1">
      <c r="A138" s="107" t="s">
        <v>150</v>
      </c>
      <c r="B138" s="13" t="s">
        <v>149</v>
      </c>
      <c r="C138" s="821">
        <v>5600</v>
      </c>
      <c r="F138" s="531"/>
      <c r="G138" s="531"/>
      <c r="H138" s="659"/>
      <c r="I138" s="539"/>
      <c r="J138" s="25"/>
      <c r="K138" s="13"/>
      <c r="L138" s="13"/>
      <c r="M138" s="13"/>
    </row>
    <row r="139" spans="1:13" s="107" customFormat="1" ht="13.5" customHeight="1" hidden="1">
      <c r="A139" s="107" t="s">
        <v>174</v>
      </c>
      <c r="B139" s="13" t="s">
        <v>97</v>
      </c>
      <c r="C139" s="821">
        <v>292800</v>
      </c>
      <c r="F139" s="534"/>
      <c r="G139" s="531"/>
      <c r="H139" s="13"/>
      <c r="I139" s="539"/>
      <c r="J139" s="25"/>
      <c r="K139" s="13"/>
      <c r="L139" s="13"/>
      <c r="M139" s="13"/>
    </row>
    <row r="140" spans="1:13" s="107" customFormat="1" ht="13.5" customHeight="1">
      <c r="A140" s="12" t="s">
        <v>123</v>
      </c>
      <c r="B140" s="12" t="s">
        <v>124</v>
      </c>
      <c r="C140" s="33">
        <f>SUM(C141:C143)</f>
        <v>19100</v>
      </c>
      <c r="F140" s="531"/>
      <c r="G140" s="534"/>
      <c r="H140" s="659"/>
      <c r="I140" s="539"/>
      <c r="J140" s="25"/>
      <c r="K140" s="13"/>
      <c r="L140" s="13"/>
      <c r="M140" s="13"/>
    </row>
    <row r="141" spans="1:13" s="107" customFormat="1" ht="13.5" customHeight="1" hidden="1">
      <c r="A141" s="13" t="s">
        <v>58</v>
      </c>
      <c r="B141" s="13" t="s">
        <v>59</v>
      </c>
      <c r="C141" s="821">
        <v>12500</v>
      </c>
      <c r="F141" s="531"/>
      <c r="G141" s="531"/>
      <c r="H141" s="659"/>
      <c r="I141" s="539"/>
      <c r="J141" s="13"/>
      <c r="K141" s="13"/>
      <c r="L141" s="13"/>
      <c r="M141" s="13"/>
    </row>
    <row r="142" spans="1:13" s="107" customFormat="1" ht="13.5" customHeight="1" hidden="1">
      <c r="A142" s="13" t="s">
        <v>184</v>
      </c>
      <c r="B142" s="13" t="s">
        <v>83</v>
      </c>
      <c r="C142" s="821">
        <v>6600</v>
      </c>
      <c r="F142" s="531"/>
      <c r="G142" s="531"/>
      <c r="H142" s="659"/>
      <c r="I142" s="539"/>
      <c r="J142" s="13"/>
      <c r="K142" s="13"/>
      <c r="L142" s="13"/>
      <c r="M142" s="13"/>
    </row>
    <row r="143" spans="1:13" s="107" customFormat="1" ht="13.5" customHeight="1" hidden="1">
      <c r="A143" s="13" t="s">
        <v>952</v>
      </c>
      <c r="B143" s="57" t="s">
        <v>1174</v>
      </c>
      <c r="C143" s="821">
        <v>0</v>
      </c>
      <c r="F143" s="531"/>
      <c r="G143" s="531"/>
      <c r="H143" s="659"/>
      <c r="I143" s="539"/>
      <c r="J143" s="13"/>
      <c r="K143" s="13"/>
      <c r="L143" s="13"/>
      <c r="M143" s="13"/>
    </row>
    <row r="144" spans="1:13" s="107" customFormat="1" ht="13.5" customHeight="1">
      <c r="A144" s="353" t="s">
        <v>125</v>
      </c>
      <c r="B144" s="33" t="s">
        <v>7</v>
      </c>
      <c r="C144" s="33">
        <f>SUM(C145:C149)</f>
        <v>806000</v>
      </c>
      <c r="F144" s="531"/>
      <c r="G144" s="531"/>
      <c r="H144" s="659"/>
      <c r="I144" s="539"/>
      <c r="J144" s="13"/>
      <c r="K144" s="13"/>
      <c r="L144" s="13"/>
      <c r="M144" s="13"/>
    </row>
    <row r="145" spans="1:13" s="107" customFormat="1" ht="13.5" customHeight="1" hidden="1">
      <c r="A145" s="107" t="s">
        <v>99</v>
      </c>
      <c r="B145" s="25" t="s">
        <v>8</v>
      </c>
      <c r="C145" s="821">
        <f>387000-25000</f>
        <v>362000</v>
      </c>
      <c r="F145" s="534"/>
      <c r="G145" s="535"/>
      <c r="H145" s="13"/>
      <c r="I145" s="539"/>
      <c r="J145" s="13"/>
      <c r="K145" s="13"/>
      <c r="L145" s="13"/>
      <c r="M145" s="13"/>
    </row>
    <row r="146" spans="1:13" s="107" customFormat="1" ht="13.5" customHeight="1" hidden="1">
      <c r="A146" s="107" t="s">
        <v>205</v>
      </c>
      <c r="B146" s="25" t="s">
        <v>54</v>
      </c>
      <c r="C146" s="821">
        <v>4500</v>
      </c>
      <c r="F146" s="531"/>
      <c r="G146" s="531"/>
      <c r="H146" s="659"/>
      <c r="I146" s="539"/>
      <c r="J146" s="13"/>
      <c r="K146" s="13"/>
      <c r="L146" s="13"/>
      <c r="M146" s="13"/>
    </row>
    <row r="147" spans="1:13" s="107" customFormat="1" ht="13.5" customHeight="1" hidden="1">
      <c r="A147" s="107" t="s">
        <v>268</v>
      </c>
      <c r="B147" s="25" t="s">
        <v>267</v>
      </c>
      <c r="C147" s="821">
        <v>16500</v>
      </c>
      <c r="F147" s="534"/>
      <c r="G147" s="531"/>
      <c r="H147" s="659"/>
      <c r="I147" s="13"/>
      <c r="J147" s="13"/>
      <c r="K147" s="13"/>
      <c r="L147" s="13"/>
      <c r="M147" s="13"/>
    </row>
    <row r="148" spans="1:13" s="107" customFormat="1" ht="13.5" customHeight="1" hidden="1">
      <c r="A148" s="107" t="s">
        <v>266</v>
      </c>
      <c r="B148" s="13" t="s">
        <v>265</v>
      </c>
      <c r="C148" s="821">
        <v>75000</v>
      </c>
      <c r="F148" s="534"/>
      <c r="G148" s="531"/>
      <c r="H148" s="659"/>
      <c r="I148" s="539"/>
      <c r="J148" s="13"/>
      <c r="K148" s="13"/>
      <c r="L148" s="13"/>
      <c r="M148" s="13"/>
    </row>
    <row r="149" spans="1:13" s="107" customFormat="1" ht="13.5" customHeight="1" hidden="1">
      <c r="A149" s="107" t="s">
        <v>100</v>
      </c>
      <c r="B149" s="25" t="s">
        <v>7</v>
      </c>
      <c r="C149" s="821">
        <f>760000-387000-25000</f>
        <v>348000</v>
      </c>
      <c r="F149" s="534"/>
      <c r="G149" s="531"/>
      <c r="H149" s="659"/>
      <c r="I149" s="539"/>
      <c r="J149" s="13"/>
      <c r="K149" s="13"/>
      <c r="L149" s="25"/>
      <c r="M149" s="13"/>
    </row>
    <row r="150" spans="2:13" s="107" customFormat="1" ht="13.5" customHeight="1" thickBot="1">
      <c r="B150" s="25"/>
      <c r="C150" s="24"/>
      <c r="F150" s="13"/>
      <c r="G150" s="531"/>
      <c r="H150" s="659"/>
      <c r="I150" s="539"/>
      <c r="J150" s="13"/>
      <c r="K150" s="13"/>
      <c r="L150" s="13"/>
      <c r="M150" s="13"/>
    </row>
    <row r="151" spans="1:8" ht="14.25" thickBot="1">
      <c r="A151" s="953" t="s">
        <v>5</v>
      </c>
      <c r="B151" s="954"/>
      <c r="C151" s="37">
        <f>SUM(C152+C154)</f>
        <v>2903000</v>
      </c>
      <c r="F151" s="15"/>
      <c r="G151" s="15"/>
      <c r="H151" s="655"/>
    </row>
    <row r="152" spans="1:8" ht="13.5">
      <c r="A152" s="353" t="s">
        <v>137</v>
      </c>
      <c r="B152" s="404" t="s">
        <v>138</v>
      </c>
      <c r="C152" s="33">
        <f>C153</f>
        <v>80000</v>
      </c>
      <c r="F152" s="15"/>
      <c r="G152" s="15"/>
      <c r="H152" s="655"/>
    </row>
    <row r="153" spans="1:8" ht="13.5" hidden="1">
      <c r="A153" s="13" t="s">
        <v>1161</v>
      </c>
      <c r="B153" s="57" t="s">
        <v>1162</v>
      </c>
      <c r="C153" s="821">
        <v>80000</v>
      </c>
      <c r="F153" s="15"/>
      <c r="G153" s="15"/>
      <c r="H153" s="655"/>
    </row>
    <row r="154" spans="1:8" s="527" customFormat="1" ht="13.5">
      <c r="A154" s="353" t="s">
        <v>139</v>
      </c>
      <c r="B154" s="404" t="s">
        <v>140</v>
      </c>
      <c r="C154" s="34">
        <f>SUM(C155:C159)</f>
        <v>2823000</v>
      </c>
      <c r="F154" s="555"/>
      <c r="G154" s="526"/>
      <c r="H154" s="588"/>
    </row>
    <row r="155" spans="1:8" s="527" customFormat="1" ht="13.5" hidden="1">
      <c r="A155" s="107" t="s">
        <v>734</v>
      </c>
      <c r="B155" s="142" t="s">
        <v>954</v>
      </c>
      <c r="C155" s="824">
        <v>200000</v>
      </c>
      <c r="F155" s="555"/>
      <c r="G155" s="526"/>
      <c r="H155" s="588"/>
    </row>
    <row r="156" spans="1:8" ht="13.5" hidden="1">
      <c r="A156" s="107" t="s">
        <v>955</v>
      </c>
      <c r="B156" s="13" t="s">
        <v>956</v>
      </c>
      <c r="C156" s="821">
        <v>600000</v>
      </c>
      <c r="F156" s="543"/>
      <c r="G156" s="15"/>
      <c r="H156" s="655"/>
    </row>
    <row r="157" spans="1:8" ht="13.5" hidden="1">
      <c r="A157" s="107" t="s">
        <v>303</v>
      </c>
      <c r="B157" s="57" t="s">
        <v>1122</v>
      </c>
      <c r="C157" s="821">
        <v>15000</v>
      </c>
      <c r="F157" s="543"/>
      <c r="G157" s="15"/>
      <c r="H157" s="655"/>
    </row>
    <row r="158" spans="1:8" ht="13.5" hidden="1">
      <c r="A158" s="107" t="s">
        <v>305</v>
      </c>
      <c r="B158" s="13" t="s">
        <v>306</v>
      </c>
      <c r="C158" s="821">
        <v>2000000</v>
      </c>
      <c r="F158" s="543"/>
      <c r="G158" s="15"/>
      <c r="H158" s="655"/>
    </row>
    <row r="159" spans="1:8" ht="13.5" hidden="1">
      <c r="A159" s="107" t="s">
        <v>157</v>
      </c>
      <c r="B159" s="107" t="s">
        <v>12</v>
      </c>
      <c r="C159" s="821">
        <v>8000</v>
      </c>
      <c r="F159" s="543"/>
      <c r="G159" s="15"/>
      <c r="H159" s="655"/>
    </row>
    <row r="160" spans="1:8" ht="14.25" thickBot="1">
      <c r="A160" s="107"/>
      <c r="B160" s="107"/>
      <c r="C160" s="24"/>
      <c r="F160" s="17"/>
      <c r="G160" s="15"/>
      <c r="H160" s="655"/>
    </row>
    <row r="161" spans="1:3" ht="14.25" thickBot="1">
      <c r="A161" s="951" t="s">
        <v>4</v>
      </c>
      <c r="B161" s="952"/>
      <c r="C161" s="662">
        <f>C162+C165</f>
        <v>31500</v>
      </c>
    </row>
    <row r="162" spans="1:6" s="527" customFormat="1" ht="13.5">
      <c r="A162" s="353" t="s">
        <v>126</v>
      </c>
      <c r="B162" s="404" t="s">
        <v>127</v>
      </c>
      <c r="C162" s="34">
        <f>SUM(C163:C164)</f>
        <v>24500</v>
      </c>
      <c r="D162" s="526"/>
      <c r="E162" s="526"/>
      <c r="F162" s="588"/>
    </row>
    <row r="163" spans="1:13" s="5" customFormat="1" ht="13.5" hidden="1">
      <c r="A163" s="107" t="s">
        <v>101</v>
      </c>
      <c r="B163" s="107" t="s">
        <v>152</v>
      </c>
      <c r="C163" s="821">
        <v>10000</v>
      </c>
      <c r="D163" s="530"/>
      <c r="E163" s="530"/>
      <c r="F163" s="659"/>
      <c r="G163" s="575"/>
      <c r="H163" s="208"/>
      <c r="I163" s="208"/>
      <c r="J163" s="208"/>
      <c r="K163" s="208"/>
      <c r="L163" s="208"/>
      <c r="M163" s="208"/>
    </row>
    <row r="164" spans="1:13" s="5" customFormat="1" ht="13.5" hidden="1">
      <c r="A164" s="107" t="s">
        <v>240</v>
      </c>
      <c r="B164" s="57" t="s">
        <v>1193</v>
      </c>
      <c r="C164" s="821">
        <v>14500</v>
      </c>
      <c r="D164" s="530"/>
      <c r="E164" s="530"/>
      <c r="F164" s="659"/>
      <c r="G164" s="575"/>
      <c r="H164" s="208"/>
      <c r="I164" s="208"/>
      <c r="J164" s="208"/>
      <c r="K164" s="208"/>
      <c r="L164" s="208"/>
      <c r="M164" s="208"/>
    </row>
    <row r="165" spans="1:13" s="5" customFormat="1" ht="13.5">
      <c r="A165" s="353" t="s">
        <v>188</v>
      </c>
      <c r="B165" s="26" t="s">
        <v>145</v>
      </c>
      <c r="C165" s="33">
        <f>SUM(C166)</f>
        <v>7000</v>
      </c>
      <c r="D165" s="530"/>
      <c r="E165" s="530"/>
      <c r="F165" s="659"/>
      <c r="G165" s="575"/>
      <c r="H165" s="208"/>
      <c r="I165" s="208"/>
      <c r="J165" s="208"/>
      <c r="K165" s="208"/>
      <c r="L165" s="208"/>
      <c r="M165" s="208"/>
    </row>
    <row r="166" spans="1:13" s="5" customFormat="1" ht="13.5" hidden="1">
      <c r="A166" s="107" t="s">
        <v>189</v>
      </c>
      <c r="B166" s="24" t="s">
        <v>56</v>
      </c>
      <c r="C166" s="821">
        <v>7000</v>
      </c>
      <c r="D166" s="530"/>
      <c r="E166" s="530"/>
      <c r="F166" s="659"/>
      <c r="G166" s="575"/>
      <c r="H166" s="208"/>
      <c r="I166" s="208"/>
      <c r="J166" s="208"/>
      <c r="K166" s="208"/>
      <c r="L166" s="208"/>
      <c r="M166" s="208"/>
    </row>
    <row r="167" ht="12.75">
      <c r="A167" s="110"/>
    </row>
    <row r="168" spans="1:3" ht="14.25" thickBot="1">
      <c r="A168" s="107"/>
      <c r="B168" s="107"/>
      <c r="C168" s="29"/>
    </row>
    <row r="169" spans="1:6" s="1" customFormat="1" ht="12.75">
      <c r="A169" s="64" t="s">
        <v>957</v>
      </c>
      <c r="B169" s="221"/>
      <c r="C169" s="65"/>
      <c r="D169" s="67" t="s">
        <v>6</v>
      </c>
      <c r="E169" s="516" t="s">
        <v>958</v>
      </c>
      <c r="F169" s="655"/>
    </row>
    <row r="170" spans="1:6" s="1" customFormat="1" ht="13.5" thickBot="1">
      <c r="A170" s="49"/>
      <c r="B170" s="205" t="s">
        <v>959</v>
      </c>
      <c r="C170" s="119"/>
      <c r="D170" s="121"/>
      <c r="E170" s="517"/>
      <c r="F170" s="655"/>
    </row>
    <row r="171" spans="1:6" s="1" customFormat="1" ht="12.75">
      <c r="A171" s="45" t="s">
        <v>960</v>
      </c>
      <c r="B171" s="208"/>
      <c r="C171" s="172"/>
      <c r="D171" s="172"/>
      <c r="E171" s="450"/>
      <c r="F171" s="655"/>
    </row>
    <row r="172" spans="1:6" s="1" customFormat="1" ht="12.75">
      <c r="A172" s="45" t="s">
        <v>961</v>
      </c>
      <c r="B172" s="208"/>
      <c r="C172" s="172"/>
      <c r="D172" s="172"/>
      <c r="E172" s="450"/>
      <c r="F172" s="655"/>
    </row>
    <row r="173" spans="1:6" s="1" customFormat="1" ht="12.75">
      <c r="A173" s="45" t="s">
        <v>962</v>
      </c>
      <c r="B173" s="208"/>
      <c r="C173" s="172"/>
      <c r="D173" s="172"/>
      <c r="E173" s="450"/>
      <c r="F173" s="655"/>
    </row>
    <row r="174" spans="1:5" s="1" customFormat="1" ht="12.75">
      <c r="A174" s="45" t="s">
        <v>963</v>
      </c>
      <c r="B174" s="208"/>
      <c r="C174" s="172"/>
      <c r="D174" s="172"/>
      <c r="E174" s="450"/>
    </row>
    <row r="175" spans="1:5" s="1" customFormat="1" ht="12.75">
      <c r="A175" s="45" t="s">
        <v>964</v>
      </c>
      <c r="B175" s="208"/>
      <c r="C175" s="172"/>
      <c r="D175" s="172"/>
      <c r="E175" s="450"/>
    </row>
    <row r="176" spans="1:6" s="1" customFormat="1" ht="13.5" thickBot="1">
      <c r="A176" s="49" t="s">
        <v>965</v>
      </c>
      <c r="B176" s="205"/>
      <c r="C176" s="119"/>
      <c r="D176" s="119"/>
      <c r="E176" s="452"/>
      <c r="F176" s="655"/>
    </row>
    <row r="177" spans="1:6" s="1" customFormat="1" ht="13.5">
      <c r="A177" s="169" t="s">
        <v>1365</v>
      </c>
      <c r="B177" s="245"/>
      <c r="C177" s="601"/>
      <c r="D177" s="601"/>
      <c r="E177" s="603"/>
      <c r="F177" s="655"/>
    </row>
    <row r="178" spans="1:6" s="1" customFormat="1" ht="13.5">
      <c r="A178" s="52" t="s">
        <v>966</v>
      </c>
      <c r="B178" s="13"/>
      <c r="C178" s="25"/>
      <c r="D178" s="25"/>
      <c r="E178" s="453"/>
      <c r="F178" s="655"/>
    </row>
    <row r="179" spans="1:6" s="1" customFormat="1" ht="13.5">
      <c r="A179" s="52" t="s">
        <v>1421</v>
      </c>
      <c r="B179" s="13"/>
      <c r="C179" s="25"/>
      <c r="D179" s="25"/>
      <c r="E179" s="453"/>
      <c r="F179" s="655"/>
    </row>
    <row r="180" spans="1:6" s="1" customFormat="1" ht="14.25" thickBot="1">
      <c r="A180" s="111" t="s">
        <v>16</v>
      </c>
      <c r="B180" s="196"/>
      <c r="C180" s="556"/>
      <c r="D180" s="556"/>
      <c r="E180" s="557"/>
      <c r="F180" s="655"/>
    </row>
    <row r="181" spans="1:7" s="1" customFormat="1" ht="14.25" thickBot="1">
      <c r="A181" s="54" t="s">
        <v>17</v>
      </c>
      <c r="B181" s="192"/>
      <c r="C181" s="55"/>
      <c r="D181" s="191"/>
      <c r="E181" s="161">
        <f>+C183+C208+C227</f>
        <v>2015080</v>
      </c>
      <c r="F181" s="655"/>
      <c r="G181" s="15"/>
    </row>
    <row r="182" spans="1:6" ht="14.25" thickBot="1">
      <c r="A182" s="110"/>
      <c r="F182" s="547"/>
    </row>
    <row r="183" spans="1:6" ht="14.25" thickBot="1">
      <c r="A183" s="947" t="s">
        <v>2</v>
      </c>
      <c r="B183" s="948"/>
      <c r="C183" s="38">
        <f>C184+C186+C189+C191+C194+C198+C202</f>
        <v>198450</v>
      </c>
      <c r="F183" s="282"/>
    </row>
    <row r="184" spans="1:6" s="527" customFormat="1" ht="13.5">
      <c r="A184" s="12" t="s">
        <v>113</v>
      </c>
      <c r="B184" s="404" t="s">
        <v>114</v>
      </c>
      <c r="C184" s="34">
        <f>SUM(C185)</f>
        <v>15500</v>
      </c>
      <c r="D184" s="526"/>
      <c r="E184" s="526"/>
      <c r="F184" s="588"/>
    </row>
    <row r="185" spans="1:7" s="13" customFormat="1" ht="13.5" customHeight="1" hidden="1">
      <c r="A185" s="13" t="s">
        <v>50</v>
      </c>
      <c r="B185" s="13" t="s">
        <v>49</v>
      </c>
      <c r="C185" s="821">
        <v>15500</v>
      </c>
      <c r="D185" s="585"/>
      <c r="E185" s="531"/>
      <c r="F185" s="659"/>
      <c r="G185" s="575"/>
    </row>
    <row r="186" spans="1:7" s="13" customFormat="1" ht="13.5" customHeight="1">
      <c r="A186" s="12" t="s">
        <v>223</v>
      </c>
      <c r="B186" s="812" t="s">
        <v>222</v>
      </c>
      <c r="C186" s="33">
        <f>SUM(C187:C188)</f>
        <v>28500</v>
      </c>
      <c r="D186" s="585"/>
      <c r="E186" s="531"/>
      <c r="F186" s="588"/>
      <c r="G186" s="575"/>
    </row>
    <row r="187" spans="1:7" s="13" customFormat="1" ht="13.5" customHeight="1" hidden="1">
      <c r="A187" s="13" t="s">
        <v>221</v>
      </c>
      <c r="B187" s="57" t="s">
        <v>220</v>
      </c>
      <c r="C187" s="821">
        <f>12500-2000</f>
        <v>10500</v>
      </c>
      <c r="D187" s="585"/>
      <c r="E187" s="531"/>
      <c r="F187" s="588"/>
      <c r="G187" s="575"/>
    </row>
    <row r="188" spans="1:7" s="13" customFormat="1" ht="13.5" customHeight="1" hidden="1">
      <c r="A188" s="13" t="s">
        <v>271</v>
      </c>
      <c r="B188" s="57" t="s">
        <v>270</v>
      </c>
      <c r="C188" s="821">
        <v>18000</v>
      </c>
      <c r="D188" s="585"/>
      <c r="E188" s="531"/>
      <c r="F188" s="659"/>
      <c r="G188" s="575"/>
    </row>
    <row r="189" spans="1:6" s="527" customFormat="1" ht="13.5">
      <c r="A189" s="12" t="s">
        <v>115</v>
      </c>
      <c r="B189" s="12" t="s">
        <v>116</v>
      </c>
      <c r="C189" s="34">
        <f>SUM(C190)</f>
        <v>37500</v>
      </c>
      <c r="D189" s="526"/>
      <c r="F189" s="587"/>
    </row>
    <row r="190" spans="1:13" s="5" customFormat="1" ht="13.5" hidden="1">
      <c r="A190" s="13" t="s">
        <v>96</v>
      </c>
      <c r="B190" s="107" t="s">
        <v>71</v>
      </c>
      <c r="C190" s="821">
        <f>42500-5000</f>
        <v>37500</v>
      </c>
      <c r="D190" s="531"/>
      <c r="F190" s="531"/>
      <c r="G190" s="208"/>
      <c r="H190" s="208"/>
      <c r="I190" s="208"/>
      <c r="J190" s="208"/>
      <c r="K190" s="208"/>
      <c r="L190" s="208"/>
      <c r="M190" s="208"/>
    </row>
    <row r="191" spans="1:13" s="5" customFormat="1" ht="13.5">
      <c r="A191" s="12" t="s">
        <v>117</v>
      </c>
      <c r="B191" s="353" t="s">
        <v>118</v>
      </c>
      <c r="C191" s="33">
        <f>SUM(C192:C193)</f>
        <v>30150</v>
      </c>
      <c r="D191" s="531"/>
      <c r="E191" s="531"/>
      <c r="F191" s="659"/>
      <c r="G191" s="208"/>
      <c r="H191" s="208"/>
      <c r="I191" s="208"/>
      <c r="J191" s="208"/>
      <c r="K191" s="208"/>
      <c r="L191" s="208"/>
      <c r="M191" s="208"/>
    </row>
    <row r="192" spans="1:13" s="5" customFormat="1" ht="13.5" hidden="1">
      <c r="A192" s="13" t="s">
        <v>51</v>
      </c>
      <c r="B192" s="24" t="s">
        <v>52</v>
      </c>
      <c r="C192" s="821">
        <f>10300</f>
        <v>10300</v>
      </c>
      <c r="D192" s="531"/>
      <c r="E192" s="531"/>
      <c r="F192" s="659"/>
      <c r="G192" s="575"/>
      <c r="H192" s="208"/>
      <c r="I192" s="208"/>
      <c r="J192" s="208"/>
      <c r="K192" s="208"/>
      <c r="L192" s="208"/>
      <c r="M192" s="208"/>
    </row>
    <row r="193" spans="1:13" s="5" customFormat="1" ht="13.5" hidden="1">
      <c r="A193" s="13" t="s">
        <v>751</v>
      </c>
      <c r="B193" s="57" t="s">
        <v>752</v>
      </c>
      <c r="C193" s="821">
        <f>14850+5000</f>
        <v>19850</v>
      </c>
      <c r="D193" s="531"/>
      <c r="E193" s="531"/>
      <c r="F193" s="659"/>
      <c r="G193" s="575"/>
      <c r="H193" s="208"/>
      <c r="I193" s="208"/>
      <c r="J193" s="208"/>
      <c r="K193" s="208"/>
      <c r="L193" s="208"/>
      <c r="M193" s="208"/>
    </row>
    <row r="194" spans="1:13" s="5" customFormat="1" ht="13.5">
      <c r="A194" s="353" t="s">
        <v>129</v>
      </c>
      <c r="B194" s="26" t="s">
        <v>119</v>
      </c>
      <c r="C194" s="33">
        <f>SUM(C195:C197)</f>
        <v>25350</v>
      </c>
      <c r="D194" s="531"/>
      <c r="E194" s="531"/>
      <c r="F194" s="659"/>
      <c r="G194" s="575"/>
      <c r="H194" s="208"/>
      <c r="I194" s="208"/>
      <c r="J194" s="208"/>
      <c r="K194" s="208"/>
      <c r="L194" s="208"/>
      <c r="M194" s="208"/>
    </row>
    <row r="195" spans="1:13" s="5" customFormat="1" ht="13.5" hidden="1">
      <c r="A195" s="107" t="s">
        <v>168</v>
      </c>
      <c r="B195" s="25" t="s">
        <v>551</v>
      </c>
      <c r="C195" s="821">
        <v>12350</v>
      </c>
      <c r="D195" s="531"/>
      <c r="E195" s="531"/>
      <c r="F195" s="659"/>
      <c r="G195" s="575"/>
      <c r="H195" s="208"/>
      <c r="I195" s="208"/>
      <c r="J195" s="208"/>
      <c r="K195" s="208"/>
      <c r="L195" s="208"/>
      <c r="M195" s="208"/>
    </row>
    <row r="196" spans="1:256" s="5" customFormat="1" ht="13.5" hidden="1">
      <c r="A196" s="107" t="s">
        <v>1169</v>
      </c>
      <c r="B196" s="57" t="s">
        <v>1194</v>
      </c>
      <c r="C196" s="821">
        <v>8500</v>
      </c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  <c r="GM196" s="57"/>
      <c r="GN196" s="57"/>
      <c r="GO196" s="57"/>
      <c r="GP196" s="57"/>
      <c r="GQ196" s="57"/>
      <c r="GR196" s="57"/>
      <c r="GS196" s="57"/>
      <c r="GT196" s="57"/>
      <c r="GU196" s="57"/>
      <c r="GV196" s="57"/>
      <c r="GW196" s="57"/>
      <c r="GX196" s="57"/>
      <c r="GY196" s="57"/>
      <c r="GZ196" s="57"/>
      <c r="HA196" s="57"/>
      <c r="HB196" s="57"/>
      <c r="HC196" s="57"/>
      <c r="HD196" s="57"/>
      <c r="HE196" s="57"/>
      <c r="HF196" s="57"/>
      <c r="HG196" s="57"/>
      <c r="HH196" s="57"/>
      <c r="HI196" s="57"/>
      <c r="HJ196" s="57"/>
      <c r="HK196" s="57"/>
      <c r="HL196" s="57"/>
      <c r="HM196" s="57"/>
      <c r="HN196" s="57"/>
      <c r="HO196" s="57"/>
      <c r="HP196" s="57"/>
      <c r="HQ196" s="57"/>
      <c r="HR196" s="57"/>
      <c r="HS196" s="57"/>
      <c r="HT196" s="57"/>
      <c r="HU196" s="57"/>
      <c r="HV196" s="57"/>
      <c r="HW196" s="57"/>
      <c r="HX196" s="57"/>
      <c r="HY196" s="57"/>
      <c r="HZ196" s="57"/>
      <c r="IA196" s="57"/>
      <c r="IB196" s="57"/>
      <c r="IC196" s="57"/>
      <c r="ID196" s="57"/>
      <c r="IE196" s="57"/>
      <c r="IF196" s="57"/>
      <c r="IG196" s="57"/>
      <c r="IH196" s="57"/>
      <c r="II196" s="57"/>
      <c r="IJ196" s="57"/>
      <c r="IK196" s="57"/>
      <c r="IL196" s="57"/>
      <c r="IM196" s="57"/>
      <c r="IN196" s="57"/>
      <c r="IO196" s="57"/>
      <c r="IP196" s="57"/>
      <c r="IQ196" s="57"/>
      <c r="IR196" s="57"/>
      <c r="IS196" s="57"/>
      <c r="IT196" s="57"/>
      <c r="IU196" s="57"/>
      <c r="IV196" s="57"/>
    </row>
    <row r="197" spans="1:13" s="5" customFormat="1" ht="13.5" hidden="1">
      <c r="A197" s="107" t="s">
        <v>1169</v>
      </c>
      <c r="B197" s="57" t="s">
        <v>1168</v>
      </c>
      <c r="C197" s="821">
        <v>4500</v>
      </c>
      <c r="E197" s="531"/>
      <c r="F197" s="659"/>
      <c r="G197" s="575"/>
      <c r="H197" s="208"/>
      <c r="I197" s="208"/>
      <c r="J197" s="208"/>
      <c r="K197" s="208"/>
      <c r="L197" s="208"/>
      <c r="M197" s="208"/>
    </row>
    <row r="198" spans="1:13" s="5" customFormat="1" ht="13.5">
      <c r="A198" s="353" t="s">
        <v>134</v>
      </c>
      <c r="B198" s="33" t="s">
        <v>133</v>
      </c>
      <c r="C198" s="33">
        <f>SUM(C199:C201)</f>
        <v>44150</v>
      </c>
      <c r="D198" s="531"/>
      <c r="E198" s="531"/>
      <c r="F198" s="659"/>
      <c r="G198" s="575"/>
      <c r="H198" s="208"/>
      <c r="I198" s="208"/>
      <c r="J198" s="208"/>
      <c r="K198" s="208"/>
      <c r="L198" s="208"/>
      <c r="M198" s="208"/>
    </row>
    <row r="199" spans="1:13" s="5" customFormat="1" ht="13.5" hidden="1">
      <c r="A199" s="107" t="s">
        <v>277</v>
      </c>
      <c r="B199" s="24" t="s">
        <v>276</v>
      </c>
      <c r="C199" s="821">
        <f>23350-4000</f>
        <v>19350</v>
      </c>
      <c r="D199" s="531"/>
      <c r="E199" s="531"/>
      <c r="F199" s="659"/>
      <c r="G199" s="575"/>
      <c r="H199" s="208"/>
      <c r="I199" s="208"/>
      <c r="J199" s="208"/>
      <c r="K199" s="208"/>
      <c r="L199" s="208"/>
      <c r="M199" s="208"/>
    </row>
    <row r="200" spans="1:13" s="5" customFormat="1" ht="13.5" hidden="1">
      <c r="A200" s="13" t="s">
        <v>323</v>
      </c>
      <c r="B200" s="25" t="s">
        <v>324</v>
      </c>
      <c r="C200" s="821">
        <f>12350</f>
        <v>12350</v>
      </c>
      <c r="D200" s="531"/>
      <c r="E200" s="531"/>
      <c r="F200" s="659"/>
      <c r="G200" s="575"/>
      <c r="H200" s="208"/>
      <c r="I200" s="208"/>
      <c r="J200" s="208"/>
      <c r="K200" s="208"/>
      <c r="L200" s="208"/>
      <c r="M200" s="208"/>
    </row>
    <row r="201" spans="1:13" s="5" customFormat="1" ht="13.5" hidden="1">
      <c r="A201" s="107" t="s">
        <v>103</v>
      </c>
      <c r="B201" s="24" t="s">
        <v>78</v>
      </c>
      <c r="C201" s="821">
        <f>15450-3000</f>
        <v>12450</v>
      </c>
      <c r="D201" s="531"/>
      <c r="E201" s="531"/>
      <c r="F201" s="659"/>
      <c r="G201" s="575"/>
      <c r="H201" s="208"/>
      <c r="I201" s="208"/>
      <c r="J201" s="208"/>
      <c r="K201" s="208"/>
      <c r="L201" s="208"/>
      <c r="M201" s="208"/>
    </row>
    <row r="202" spans="1:13" s="5" customFormat="1" ht="13.5">
      <c r="A202" s="353" t="s">
        <v>169</v>
      </c>
      <c r="B202" s="26" t="s">
        <v>135</v>
      </c>
      <c r="C202" s="26">
        <f>SUM(C203:C206)</f>
        <v>17300</v>
      </c>
      <c r="D202" s="530"/>
      <c r="E202" s="530"/>
      <c r="F202" s="659"/>
      <c r="G202" s="575"/>
      <c r="H202" s="208"/>
      <c r="I202" s="208"/>
      <c r="J202" s="208"/>
      <c r="K202" s="208"/>
      <c r="L202" s="208"/>
      <c r="M202" s="208"/>
    </row>
    <row r="203" spans="1:13" s="5" customFormat="1" ht="13.5" hidden="1">
      <c r="A203" s="107" t="s">
        <v>170</v>
      </c>
      <c r="B203" s="24" t="s">
        <v>70</v>
      </c>
      <c r="C203" s="821">
        <v>4500</v>
      </c>
      <c r="D203" s="530"/>
      <c r="E203" s="530"/>
      <c r="F203" s="659"/>
      <c r="G203" s="575"/>
      <c r="H203" s="208"/>
      <c r="I203" s="208"/>
      <c r="J203" s="208"/>
      <c r="K203" s="208"/>
      <c r="L203" s="208"/>
      <c r="M203" s="208"/>
    </row>
    <row r="204" spans="1:13" s="5" customFormat="1" ht="13.5" hidden="1">
      <c r="A204" s="107" t="s">
        <v>247</v>
      </c>
      <c r="B204" s="24" t="s">
        <v>246</v>
      </c>
      <c r="C204" s="821">
        <v>4500</v>
      </c>
      <c r="D204" s="530"/>
      <c r="E204" s="530"/>
      <c r="F204" s="659"/>
      <c r="G204" s="575"/>
      <c r="H204" s="208"/>
      <c r="I204" s="208"/>
      <c r="J204" s="208"/>
      <c r="K204" s="208"/>
      <c r="L204" s="208"/>
      <c r="M204" s="208"/>
    </row>
    <row r="205" spans="1:13" s="5" customFormat="1" ht="13.5" hidden="1">
      <c r="A205" s="107" t="s">
        <v>171</v>
      </c>
      <c r="B205" s="25" t="s">
        <v>75</v>
      </c>
      <c r="C205" s="821">
        <v>3000</v>
      </c>
      <c r="D205" s="531"/>
      <c r="E205" s="531"/>
      <c r="F205" s="659"/>
      <c r="G205" s="575"/>
      <c r="H205" s="208"/>
      <c r="I205" s="208"/>
      <c r="J205" s="208"/>
      <c r="K205" s="208"/>
      <c r="L205" s="208"/>
      <c r="M205" s="208"/>
    </row>
    <row r="206" spans="1:13" s="5" customFormat="1" ht="13.5" hidden="1">
      <c r="A206" s="107" t="s">
        <v>173</v>
      </c>
      <c r="B206" s="24" t="s">
        <v>135</v>
      </c>
      <c r="C206" s="821">
        <v>5300</v>
      </c>
      <c r="D206" s="531"/>
      <c r="E206" s="531"/>
      <c r="F206" s="659"/>
      <c r="G206" s="575"/>
      <c r="H206" s="208"/>
      <c r="I206" s="208"/>
      <c r="J206" s="208"/>
      <c r="K206" s="208"/>
      <c r="L206" s="208"/>
      <c r="M206" s="208"/>
    </row>
    <row r="207" spans="1:13" s="5" customFormat="1" ht="14.25" thickBot="1">
      <c r="A207" s="107"/>
      <c r="B207" s="25"/>
      <c r="C207" s="24"/>
      <c r="D207" s="530"/>
      <c r="E207" s="530"/>
      <c r="F207" s="659"/>
      <c r="G207" s="575"/>
      <c r="H207" s="208"/>
      <c r="I207" s="208"/>
      <c r="J207" s="208"/>
      <c r="K207" s="208"/>
      <c r="L207" s="208"/>
      <c r="M207" s="208"/>
    </row>
    <row r="208" spans="1:3" ht="14.25" thickBot="1">
      <c r="A208" s="949" t="s">
        <v>3</v>
      </c>
      <c r="B208" s="950"/>
      <c r="C208" s="36">
        <f>C209+C211+C215+C218+C220</f>
        <v>1572430</v>
      </c>
    </row>
    <row r="209" spans="1:6" s="527" customFormat="1" ht="13.5">
      <c r="A209" s="353" t="s">
        <v>120</v>
      </c>
      <c r="B209" s="404" t="s">
        <v>121</v>
      </c>
      <c r="C209" s="34">
        <f>SUM(C210)</f>
        <v>14000</v>
      </c>
      <c r="D209" s="526"/>
      <c r="E209" s="526"/>
      <c r="F209" s="588"/>
    </row>
    <row r="210" spans="1:13" s="107" customFormat="1" ht="13.5" customHeight="1" hidden="1">
      <c r="A210" s="107" t="s">
        <v>57</v>
      </c>
      <c r="B210" s="25" t="s">
        <v>18</v>
      </c>
      <c r="C210" s="821">
        <v>14000</v>
      </c>
      <c r="D210" s="531"/>
      <c r="E210" s="530"/>
      <c r="F210" s="659"/>
      <c r="G210" s="539"/>
      <c r="H210" s="25"/>
      <c r="I210" s="13"/>
      <c r="J210" s="13"/>
      <c r="K210" s="13"/>
      <c r="L210" s="13"/>
      <c r="M210" s="13"/>
    </row>
    <row r="211" spans="1:13" s="107" customFormat="1" ht="13.5" customHeight="1">
      <c r="A211" s="12" t="s">
        <v>130</v>
      </c>
      <c r="B211" s="33" t="s">
        <v>131</v>
      </c>
      <c r="C211" s="33">
        <f>SUM(C212:C214)</f>
        <v>459980</v>
      </c>
      <c r="D211" s="531"/>
      <c r="E211" s="530"/>
      <c r="F211" s="659"/>
      <c r="G211" s="539"/>
      <c r="H211" s="25"/>
      <c r="I211" s="13"/>
      <c r="J211" s="13"/>
      <c r="K211" s="13"/>
      <c r="L211" s="13"/>
      <c r="M211" s="13"/>
    </row>
    <row r="212" spans="1:13" s="107" customFormat="1" ht="13.5" customHeight="1" hidden="1">
      <c r="A212" s="13" t="s">
        <v>327</v>
      </c>
      <c r="B212" s="13" t="s">
        <v>328</v>
      </c>
      <c r="C212" s="821">
        <v>315980</v>
      </c>
      <c r="E212" s="530"/>
      <c r="F212" s="585"/>
      <c r="G212" s="539"/>
      <c r="H212" s="25"/>
      <c r="I212" s="13"/>
      <c r="J212" s="13"/>
      <c r="K212" s="13"/>
      <c r="L212" s="13"/>
      <c r="M212" s="13"/>
    </row>
    <row r="213" spans="1:13" s="182" customFormat="1" ht="13.5" customHeight="1" hidden="1">
      <c r="A213" s="13" t="s">
        <v>153</v>
      </c>
      <c r="B213" s="13" t="s">
        <v>1163</v>
      </c>
      <c r="C213" s="836">
        <v>125500</v>
      </c>
      <c r="E213" s="411"/>
      <c r="F213" s="399"/>
      <c r="G213" s="176"/>
      <c r="H213" s="176"/>
      <c r="I213" s="451"/>
      <c r="J213" s="176"/>
      <c r="K213" s="176"/>
      <c r="L213" s="176"/>
      <c r="M213" s="176"/>
    </row>
    <row r="214" spans="1:13" s="107" customFormat="1" ht="13.5" customHeight="1" hidden="1">
      <c r="A214" s="13" t="s">
        <v>148</v>
      </c>
      <c r="B214" s="13" t="s">
        <v>77</v>
      </c>
      <c r="C214" s="821">
        <v>18500</v>
      </c>
      <c r="E214" s="530"/>
      <c r="F214" s="531"/>
      <c r="G214" s="539"/>
      <c r="H214" s="25"/>
      <c r="I214" s="13"/>
      <c r="J214" s="13"/>
      <c r="K214" s="13"/>
      <c r="L214" s="13"/>
      <c r="M214" s="13"/>
    </row>
    <row r="215" spans="1:13" s="107" customFormat="1" ht="13.5" customHeight="1">
      <c r="A215" s="353" t="s">
        <v>122</v>
      </c>
      <c r="B215" s="33" t="s">
        <v>175</v>
      </c>
      <c r="C215" s="33">
        <f>SUM(C216:C217)</f>
        <v>686000</v>
      </c>
      <c r="E215" s="530"/>
      <c r="F215" s="531"/>
      <c r="G215" s="539"/>
      <c r="H215" s="25"/>
      <c r="I215" s="13"/>
      <c r="J215" s="13"/>
      <c r="K215" s="13"/>
      <c r="L215" s="13"/>
      <c r="M215" s="13"/>
    </row>
    <row r="216" spans="1:13" s="107" customFormat="1" ht="13.5" customHeight="1" hidden="1">
      <c r="A216" s="107" t="s">
        <v>150</v>
      </c>
      <c r="B216" s="13" t="s">
        <v>149</v>
      </c>
      <c r="C216" s="821">
        <v>15000</v>
      </c>
      <c r="E216" s="530"/>
      <c r="F216" s="531"/>
      <c r="G216" s="539"/>
      <c r="H216" s="25"/>
      <c r="I216" s="13"/>
      <c r="J216" s="13"/>
      <c r="K216" s="13"/>
      <c r="L216" s="13"/>
      <c r="M216" s="13"/>
    </row>
    <row r="217" spans="1:13" s="107" customFormat="1" ht="13.5" customHeight="1" hidden="1">
      <c r="A217" s="107" t="s">
        <v>174</v>
      </c>
      <c r="B217" s="13" t="s">
        <v>97</v>
      </c>
      <c r="C217" s="821">
        <f>671000</f>
        <v>671000</v>
      </c>
      <c r="E217" s="531"/>
      <c r="F217" s="534"/>
      <c r="G217" s="539"/>
      <c r="H217" s="25"/>
      <c r="I217" s="13"/>
      <c r="J217" s="13"/>
      <c r="K217" s="13"/>
      <c r="L217" s="13"/>
      <c r="M217" s="13"/>
    </row>
    <row r="218" spans="1:13" s="107" customFormat="1" ht="13.5" customHeight="1">
      <c r="A218" s="12" t="s">
        <v>123</v>
      </c>
      <c r="B218" s="12" t="s">
        <v>124</v>
      </c>
      <c r="C218" s="33">
        <f>SUM(C219:C219)</f>
        <v>20750</v>
      </c>
      <c r="F218" s="534"/>
      <c r="G218" s="539"/>
      <c r="H218" s="25"/>
      <c r="I218" s="13"/>
      <c r="J218" s="13"/>
      <c r="K218" s="13"/>
      <c r="L218" s="13"/>
      <c r="M218" s="13"/>
    </row>
    <row r="219" spans="1:13" s="107" customFormat="1" ht="13.5" customHeight="1" hidden="1">
      <c r="A219" s="13" t="s">
        <v>184</v>
      </c>
      <c r="B219" s="13" t="s">
        <v>83</v>
      </c>
      <c r="C219" s="821">
        <v>20750</v>
      </c>
      <c r="E219" s="530"/>
      <c r="F219" s="531"/>
      <c r="G219" s="539"/>
      <c r="H219" s="13"/>
      <c r="I219" s="13"/>
      <c r="J219" s="13"/>
      <c r="K219" s="13"/>
      <c r="L219" s="13"/>
      <c r="M219" s="13"/>
    </row>
    <row r="220" spans="1:13" s="107" customFormat="1" ht="13.5" customHeight="1">
      <c r="A220" s="353" t="s">
        <v>125</v>
      </c>
      <c r="B220" s="33" t="s">
        <v>8</v>
      </c>
      <c r="C220" s="33">
        <f>SUM(C221:C225)</f>
        <v>391700</v>
      </c>
      <c r="E220" s="530"/>
      <c r="F220" s="531"/>
      <c r="G220" s="539"/>
      <c r="H220" s="13"/>
      <c r="I220" s="13"/>
      <c r="J220" s="13"/>
      <c r="K220" s="13"/>
      <c r="L220" s="13"/>
      <c r="M220" s="13"/>
    </row>
    <row r="221" spans="1:13" s="107" customFormat="1" ht="13.5" customHeight="1" hidden="1">
      <c r="A221" s="107" t="s">
        <v>102</v>
      </c>
      <c r="B221" s="25" t="s">
        <v>8</v>
      </c>
      <c r="C221" s="821">
        <f>176400+108000+15000</f>
        <v>299400</v>
      </c>
      <c r="E221" s="531"/>
      <c r="F221" s="534"/>
      <c r="G221" s="539"/>
      <c r="H221" s="13"/>
      <c r="I221" s="13"/>
      <c r="J221" s="13"/>
      <c r="K221" s="13"/>
      <c r="L221" s="13"/>
      <c r="M221" s="13"/>
    </row>
    <row r="222" spans="1:10" s="12" customFormat="1" ht="13.5" customHeight="1" hidden="1">
      <c r="A222" s="107" t="s">
        <v>205</v>
      </c>
      <c r="B222" s="25" t="s">
        <v>54</v>
      </c>
      <c r="C222" s="821">
        <v>3850</v>
      </c>
      <c r="E222" s="531"/>
      <c r="F222" s="531"/>
      <c r="G222" s="539"/>
      <c r="H222" s="13"/>
      <c r="I222" s="13"/>
      <c r="J222" s="13"/>
    </row>
    <row r="223" spans="1:13" s="107" customFormat="1" ht="13.5" customHeight="1" hidden="1">
      <c r="A223" s="107" t="s">
        <v>266</v>
      </c>
      <c r="B223" s="13" t="s">
        <v>265</v>
      </c>
      <c r="C223" s="821">
        <f>22000+55000</f>
        <v>77000</v>
      </c>
      <c r="E223" s="531"/>
      <c r="F223" s="531"/>
      <c r="G223" s="539"/>
      <c r="H223" s="12"/>
      <c r="I223" s="12"/>
      <c r="J223" s="12"/>
      <c r="K223" s="13"/>
      <c r="L223" s="13"/>
      <c r="M223" s="13"/>
    </row>
    <row r="224" spans="1:13" s="107" customFormat="1" ht="13.5" customHeight="1" hidden="1">
      <c r="A224" s="13" t="s">
        <v>242</v>
      </c>
      <c r="B224" s="25" t="s">
        <v>794</v>
      </c>
      <c r="C224" s="821">
        <v>0</v>
      </c>
      <c r="E224" s="531"/>
      <c r="F224" s="535"/>
      <c r="G224" s="539"/>
      <c r="H224" s="12"/>
      <c r="I224" s="12"/>
      <c r="J224" s="12"/>
      <c r="K224" s="13"/>
      <c r="L224" s="13"/>
      <c r="M224" s="13"/>
    </row>
    <row r="225" spans="1:13" s="107" customFormat="1" ht="13.5" customHeight="1" hidden="1">
      <c r="A225" s="107" t="s">
        <v>100</v>
      </c>
      <c r="B225" s="25" t="s">
        <v>7</v>
      </c>
      <c r="C225" s="821">
        <v>11450</v>
      </c>
      <c r="E225" s="530"/>
      <c r="F225" s="659"/>
      <c r="G225" s="539"/>
      <c r="H225" s="13"/>
      <c r="I225" s="13"/>
      <c r="J225" s="25"/>
      <c r="K225" s="13"/>
      <c r="L225" s="13"/>
      <c r="M225" s="13"/>
    </row>
    <row r="226" spans="2:13" s="107" customFormat="1" ht="13.5" customHeight="1" thickBot="1">
      <c r="B226" s="25"/>
      <c r="C226" s="24"/>
      <c r="D226" s="661"/>
      <c r="E226" s="531"/>
      <c r="F226" s="659"/>
      <c r="G226" s="539"/>
      <c r="H226" s="13"/>
      <c r="I226" s="13"/>
      <c r="J226" s="13"/>
      <c r="K226" s="13"/>
      <c r="L226" s="13"/>
      <c r="M226" s="13"/>
    </row>
    <row r="227" spans="1:3" ht="14.25" thickBot="1">
      <c r="A227" s="951" t="s">
        <v>4</v>
      </c>
      <c r="B227" s="952"/>
      <c r="C227" s="662">
        <f>C228+C233</f>
        <v>244200</v>
      </c>
    </row>
    <row r="228" spans="1:6" s="527" customFormat="1" ht="13.5">
      <c r="A228" s="353" t="s">
        <v>126</v>
      </c>
      <c r="B228" s="404" t="s">
        <v>127</v>
      </c>
      <c r="C228" s="34">
        <f>SUM(C229:C232)</f>
        <v>235200</v>
      </c>
      <c r="D228" s="526"/>
      <c r="E228" s="526"/>
      <c r="F228" s="588"/>
    </row>
    <row r="229" spans="1:6" s="527" customFormat="1" ht="13.5" hidden="1">
      <c r="A229" s="107" t="s">
        <v>101</v>
      </c>
      <c r="B229" s="107" t="s">
        <v>152</v>
      </c>
      <c r="C229" s="824">
        <v>18500</v>
      </c>
      <c r="D229" s="526"/>
      <c r="F229" s="526"/>
    </row>
    <row r="230" spans="1:13" s="5" customFormat="1" ht="13.5" hidden="1">
      <c r="A230" s="107" t="s">
        <v>240</v>
      </c>
      <c r="B230" s="57" t="s">
        <v>1193</v>
      </c>
      <c r="C230" s="821">
        <v>58000</v>
      </c>
      <c r="D230" s="530"/>
      <c r="F230" s="535"/>
      <c r="G230" s="575"/>
      <c r="H230" s="208"/>
      <c r="I230" s="208"/>
      <c r="J230" s="208"/>
      <c r="K230" s="208"/>
      <c r="L230" s="208"/>
      <c r="M230" s="208"/>
    </row>
    <row r="231" spans="1:13" s="5" customFormat="1" ht="13.5" hidden="1">
      <c r="A231" s="107" t="s">
        <v>62</v>
      </c>
      <c r="B231" s="13" t="s">
        <v>63</v>
      </c>
      <c r="C231" s="821">
        <f>148500-24800-30000</f>
        <v>93700</v>
      </c>
      <c r="D231" s="530"/>
      <c r="E231" s="530"/>
      <c r="F231" s="659"/>
      <c r="G231" s="575"/>
      <c r="H231" s="208"/>
      <c r="I231" s="208"/>
      <c r="J231" s="208"/>
      <c r="K231" s="208"/>
      <c r="L231" s="208"/>
      <c r="M231" s="208"/>
    </row>
    <row r="232" spans="1:13" s="5" customFormat="1" ht="13.5" hidden="1">
      <c r="A232" s="107" t="s">
        <v>182</v>
      </c>
      <c r="B232" s="57" t="s">
        <v>183</v>
      </c>
      <c r="C232" s="821">
        <v>65000</v>
      </c>
      <c r="D232" s="530"/>
      <c r="E232" s="530"/>
      <c r="F232" s="659"/>
      <c r="G232" s="575"/>
      <c r="H232" s="208"/>
      <c r="I232" s="208"/>
      <c r="J232" s="208"/>
      <c r="K232" s="208"/>
      <c r="L232" s="208"/>
      <c r="M232" s="208"/>
    </row>
    <row r="233" spans="1:13" s="5" customFormat="1" ht="13.5">
      <c r="A233" s="353" t="s">
        <v>188</v>
      </c>
      <c r="B233" s="26" t="s">
        <v>145</v>
      </c>
      <c r="C233" s="33">
        <f>SUM(C234)</f>
        <v>9000</v>
      </c>
      <c r="D233" s="530"/>
      <c r="E233" s="530"/>
      <c r="F233" s="659"/>
      <c r="G233" s="575"/>
      <c r="H233" s="208"/>
      <c r="I233" s="208"/>
      <c r="J233" s="208"/>
      <c r="K233" s="208"/>
      <c r="L233" s="208"/>
      <c r="M233" s="208"/>
    </row>
    <row r="234" spans="1:13" s="5" customFormat="1" ht="13.5" hidden="1">
      <c r="A234" s="107" t="s">
        <v>189</v>
      </c>
      <c r="B234" s="24" t="s">
        <v>56</v>
      </c>
      <c r="C234" s="821">
        <v>9000</v>
      </c>
      <c r="D234" s="530"/>
      <c r="E234" s="530"/>
      <c r="F234" s="659"/>
      <c r="G234" s="575"/>
      <c r="H234" s="208"/>
      <c r="I234" s="208"/>
      <c r="J234" s="208"/>
      <c r="K234" s="208"/>
      <c r="L234" s="208"/>
      <c r="M234" s="208"/>
    </row>
    <row r="235" spans="1:4" ht="13.5">
      <c r="A235" s="107"/>
      <c r="B235" s="107"/>
      <c r="C235" s="24"/>
      <c r="D235" s="21"/>
    </row>
    <row r="236" ht="13.5" thickBot="1"/>
    <row r="237" spans="1:6" s="1" customFormat="1" ht="12.75">
      <c r="A237" s="64" t="s">
        <v>967</v>
      </c>
      <c r="B237" s="221"/>
      <c r="C237" s="65"/>
      <c r="D237" s="67" t="s">
        <v>6</v>
      </c>
      <c r="E237" s="516" t="s">
        <v>968</v>
      </c>
      <c r="F237" s="655"/>
    </row>
    <row r="238" spans="1:6" s="1" customFormat="1" ht="13.5" thickBot="1">
      <c r="A238" s="45"/>
      <c r="B238" s="208"/>
      <c r="C238" s="172"/>
      <c r="D238" s="447"/>
      <c r="E238" s="542"/>
      <c r="F238" s="655"/>
    </row>
    <row r="239" spans="1:6" s="1" customFormat="1" ht="12.75">
      <c r="A239" s="64" t="s">
        <v>969</v>
      </c>
      <c r="B239" s="221"/>
      <c r="C239" s="65"/>
      <c r="D239" s="65"/>
      <c r="E239" s="449"/>
      <c r="F239" s="655"/>
    </row>
    <row r="240" spans="1:6" s="1" customFormat="1" ht="12.75">
      <c r="A240" s="45" t="s">
        <v>970</v>
      </c>
      <c r="B240" s="208"/>
      <c r="C240" s="172"/>
      <c r="D240" s="172"/>
      <c r="E240" s="450"/>
      <c r="F240" s="655"/>
    </row>
    <row r="241" spans="1:6" s="1" customFormat="1" ht="12.75">
      <c r="A241" s="45" t="s">
        <v>971</v>
      </c>
      <c r="B241" s="208"/>
      <c r="C241" s="172"/>
      <c r="D241" s="172"/>
      <c r="E241" s="450"/>
      <c r="F241" s="655"/>
    </row>
    <row r="242" spans="1:6" s="270" customFormat="1" ht="13.5">
      <c r="A242" s="45" t="s">
        <v>972</v>
      </c>
      <c r="B242" s="208"/>
      <c r="C242" s="172"/>
      <c r="D242" s="172"/>
      <c r="E242" s="450"/>
      <c r="F242" s="655"/>
    </row>
    <row r="243" spans="1:6" s="1" customFormat="1" ht="12.75">
      <c r="A243" s="45" t="s">
        <v>973</v>
      </c>
      <c r="B243" s="208"/>
      <c r="C243" s="172"/>
      <c r="D243" s="172"/>
      <c r="E243" s="450"/>
      <c r="F243" s="655"/>
    </row>
    <row r="244" spans="1:6" s="1" customFormat="1" ht="12.75">
      <c r="A244" s="45" t="s">
        <v>974</v>
      </c>
      <c r="B244" s="208"/>
      <c r="C244" s="172"/>
      <c r="D244" s="172"/>
      <c r="E244" s="450"/>
      <c r="F244" s="655"/>
    </row>
    <row r="245" spans="1:6" s="1" customFormat="1" ht="12.75">
      <c r="A245" s="45" t="s">
        <v>975</v>
      </c>
      <c r="B245" s="208"/>
      <c r="C245" s="172"/>
      <c r="D245" s="172"/>
      <c r="E245" s="450"/>
      <c r="F245" s="655"/>
    </row>
    <row r="246" spans="1:6" s="1" customFormat="1" ht="12.75">
      <c r="A246" s="45" t="s">
        <v>1011</v>
      </c>
      <c r="B246" s="208"/>
      <c r="C246" s="172"/>
      <c r="D246" s="172"/>
      <c r="E246" s="450"/>
      <c r="F246" s="655"/>
    </row>
    <row r="247" spans="1:6" s="1" customFormat="1" ht="12.75">
      <c r="A247" s="45" t="s">
        <v>1012</v>
      </c>
      <c r="B247" s="208"/>
      <c r="C247" s="172"/>
      <c r="D247" s="172"/>
      <c r="E247" s="450"/>
      <c r="F247" s="655"/>
    </row>
    <row r="248" spans="1:6" s="1" customFormat="1" ht="12.75">
      <c r="A248" s="45" t="s">
        <v>976</v>
      </c>
      <c r="B248" s="208"/>
      <c r="C248" s="172"/>
      <c r="D248" s="172"/>
      <c r="E248" s="450"/>
      <c r="F248" s="655"/>
    </row>
    <row r="249" spans="1:6" s="1" customFormat="1" ht="12.75">
      <c r="A249" s="45" t="s">
        <v>977</v>
      </c>
      <c r="B249" s="208"/>
      <c r="C249" s="172"/>
      <c r="D249" s="172"/>
      <c r="E249" s="450"/>
      <c r="F249" s="655"/>
    </row>
    <row r="250" spans="1:6" s="1" customFormat="1" ht="12.75">
      <c r="A250" s="45" t="s">
        <v>978</v>
      </c>
      <c r="B250" s="208"/>
      <c r="C250" s="172"/>
      <c r="D250" s="172"/>
      <c r="E250" s="450"/>
      <c r="F250" s="655"/>
    </row>
    <row r="251" spans="1:6" s="1" customFormat="1" ht="13.5" thickBot="1">
      <c r="A251" s="49" t="s">
        <v>979</v>
      </c>
      <c r="B251" s="205"/>
      <c r="C251" s="119"/>
      <c r="D251" s="119"/>
      <c r="E251" s="452"/>
      <c r="F251" s="655"/>
    </row>
    <row r="252" spans="1:6" s="270" customFormat="1" ht="13.5">
      <c r="A252" s="52" t="s">
        <v>1365</v>
      </c>
      <c r="B252" s="13"/>
      <c r="C252" s="25"/>
      <c r="D252" s="25"/>
      <c r="E252" s="453"/>
      <c r="F252" s="665"/>
    </row>
    <row r="253" spans="1:7" s="270" customFormat="1" ht="13.5">
      <c r="A253" s="52" t="s">
        <v>980</v>
      </c>
      <c r="B253" s="13"/>
      <c r="C253" s="25"/>
      <c r="D253" s="25"/>
      <c r="E253" s="453"/>
      <c r="F253" s="665"/>
      <c r="G253" s="299"/>
    </row>
    <row r="254" spans="1:7" s="270" customFormat="1" ht="13.5">
      <c r="A254" s="52" t="s">
        <v>1421</v>
      </c>
      <c r="B254" s="13"/>
      <c r="C254" s="25"/>
      <c r="D254" s="25"/>
      <c r="E254" s="453"/>
      <c r="F254" s="665"/>
      <c r="G254" s="299"/>
    </row>
    <row r="255" spans="1:6" s="270" customFormat="1" ht="14.25" thickBot="1">
      <c r="A255" s="111" t="s">
        <v>16</v>
      </c>
      <c r="B255" s="196"/>
      <c r="C255" s="556"/>
      <c r="D255" s="556"/>
      <c r="E255" s="557"/>
      <c r="F255" s="665"/>
    </row>
    <row r="256" spans="1:6" s="270" customFormat="1" ht="14.25" thickBot="1">
      <c r="A256" s="54" t="s">
        <v>17</v>
      </c>
      <c r="B256" s="192"/>
      <c r="C256" s="55"/>
      <c r="D256" s="191"/>
      <c r="E256" s="161">
        <f>+C258+C278+C301</f>
        <v>1408330</v>
      </c>
      <c r="F256" s="665"/>
    </row>
    <row r="257" spans="1:6" s="270" customFormat="1" ht="14.25" thickBot="1">
      <c r="A257" s="12"/>
      <c r="B257" s="12"/>
      <c r="C257" s="33"/>
      <c r="D257" s="33"/>
      <c r="F257" s="547"/>
    </row>
    <row r="258" spans="1:6" ht="14.25" thickBot="1">
      <c r="A258" s="947" t="s">
        <v>2</v>
      </c>
      <c r="B258" s="948"/>
      <c r="C258" s="38">
        <f>C259+C261+C263+C265+C267+C271+C273</f>
        <v>128880</v>
      </c>
      <c r="D258" s="657"/>
      <c r="F258" s="282"/>
    </row>
    <row r="259" spans="1:6" s="527" customFormat="1" ht="13.5">
      <c r="A259" s="12" t="s">
        <v>113</v>
      </c>
      <c r="B259" s="404" t="s">
        <v>114</v>
      </c>
      <c r="C259" s="34">
        <f>SUM(C260)</f>
        <v>12600</v>
      </c>
      <c r="D259" s="526"/>
      <c r="E259" s="526"/>
      <c r="F259" s="588"/>
    </row>
    <row r="260" spans="1:7" s="13" customFormat="1" ht="13.5" customHeight="1" hidden="1">
      <c r="A260" s="13" t="s">
        <v>50</v>
      </c>
      <c r="B260" s="13" t="s">
        <v>49</v>
      </c>
      <c r="C260" s="821">
        <v>12600</v>
      </c>
      <c r="D260" s="585"/>
      <c r="E260" s="531"/>
      <c r="F260" s="659"/>
      <c r="G260" s="575"/>
    </row>
    <row r="261" spans="1:6" s="527" customFormat="1" ht="13.5">
      <c r="A261" s="12" t="s">
        <v>115</v>
      </c>
      <c r="B261" s="12" t="s">
        <v>116</v>
      </c>
      <c r="C261" s="34">
        <f>SUM(C262)</f>
        <v>20700</v>
      </c>
      <c r="D261" s="585"/>
      <c r="F261" s="587"/>
    </row>
    <row r="262" spans="1:13" s="5" customFormat="1" ht="13.5" hidden="1">
      <c r="A262" s="13" t="s">
        <v>96</v>
      </c>
      <c r="B262" s="107" t="s">
        <v>71</v>
      </c>
      <c r="C262" s="821">
        <v>20700</v>
      </c>
      <c r="E262" s="531"/>
      <c r="F262" s="659"/>
      <c r="G262" s="208"/>
      <c r="H262" s="208"/>
      <c r="I262" s="208"/>
      <c r="J262" s="208"/>
      <c r="K262" s="208"/>
      <c r="L262" s="208"/>
      <c r="M262" s="208"/>
    </row>
    <row r="263" spans="1:13" s="5" customFormat="1" ht="13.5">
      <c r="A263" s="12" t="s">
        <v>117</v>
      </c>
      <c r="B263" s="353" t="s">
        <v>118</v>
      </c>
      <c r="C263" s="33">
        <f>SUM(C264)</f>
        <v>23500</v>
      </c>
      <c r="D263" s="666"/>
      <c r="E263" s="531"/>
      <c r="F263" s="659"/>
      <c r="G263" s="208"/>
      <c r="H263" s="208"/>
      <c r="I263" s="208"/>
      <c r="J263" s="208"/>
      <c r="K263" s="208"/>
      <c r="L263" s="208"/>
      <c r="M263" s="208"/>
    </row>
    <row r="264" spans="1:13" s="5" customFormat="1" ht="13.5" hidden="1">
      <c r="A264" s="13" t="s">
        <v>51</v>
      </c>
      <c r="B264" s="24" t="s">
        <v>52</v>
      </c>
      <c r="C264" s="821">
        <v>23500</v>
      </c>
      <c r="D264" s="663"/>
      <c r="E264" s="531"/>
      <c r="F264" s="659"/>
      <c r="G264" s="575"/>
      <c r="H264" s="208"/>
      <c r="I264" s="208"/>
      <c r="J264" s="208"/>
      <c r="K264" s="208"/>
      <c r="L264" s="208"/>
      <c r="M264" s="208"/>
    </row>
    <row r="265" spans="1:13" s="5" customFormat="1" ht="13.5">
      <c r="A265" s="12" t="s">
        <v>219</v>
      </c>
      <c r="B265" s="26" t="s">
        <v>218</v>
      </c>
      <c r="C265" s="33">
        <f>SUM(C266)</f>
        <v>15000</v>
      </c>
      <c r="D265" s="663"/>
      <c r="E265" s="531"/>
      <c r="F265" s="659"/>
      <c r="G265" s="575"/>
      <c r="H265" s="208"/>
      <c r="I265" s="208"/>
      <c r="J265" s="208"/>
      <c r="K265" s="208"/>
      <c r="L265" s="208"/>
      <c r="M265" s="208"/>
    </row>
    <row r="266" spans="1:13" s="5" customFormat="1" ht="13.5" hidden="1">
      <c r="A266" s="13" t="s">
        <v>217</v>
      </c>
      <c r="B266" s="107" t="s">
        <v>252</v>
      </c>
      <c r="C266" s="821">
        <v>15000</v>
      </c>
      <c r="D266" s="663"/>
      <c r="E266" s="531"/>
      <c r="F266" s="659"/>
      <c r="G266" s="575"/>
      <c r="H266" s="208"/>
      <c r="I266" s="208"/>
      <c r="J266" s="208"/>
      <c r="K266" s="208"/>
      <c r="L266" s="208"/>
      <c r="M266" s="208"/>
    </row>
    <row r="267" spans="1:13" s="5" customFormat="1" ht="13.5">
      <c r="A267" s="353" t="s">
        <v>129</v>
      </c>
      <c r="B267" s="26" t="s">
        <v>119</v>
      </c>
      <c r="C267" s="33">
        <f>SUM(C268:C270)</f>
        <v>21800</v>
      </c>
      <c r="D267" s="657"/>
      <c r="E267" s="531"/>
      <c r="F267" s="659"/>
      <c r="G267" s="575"/>
      <c r="H267" s="208"/>
      <c r="I267" s="208"/>
      <c r="J267" s="208"/>
      <c r="K267" s="208"/>
      <c r="L267" s="208"/>
      <c r="M267" s="208"/>
    </row>
    <row r="268" spans="1:13" s="5" customFormat="1" ht="13.5" hidden="1">
      <c r="A268" s="107" t="s">
        <v>214</v>
      </c>
      <c r="B268" s="25" t="s">
        <v>387</v>
      </c>
      <c r="C268" s="821">
        <v>10000</v>
      </c>
      <c r="D268" s="657"/>
      <c r="E268" s="531"/>
      <c r="F268" s="659"/>
      <c r="G268" s="575"/>
      <c r="H268" s="208"/>
      <c r="I268" s="208"/>
      <c r="J268" s="208"/>
      <c r="K268" s="208"/>
      <c r="L268" s="208"/>
      <c r="M268" s="208"/>
    </row>
    <row r="269" spans="1:13" s="5" customFormat="1" ht="13.5" hidden="1">
      <c r="A269" s="107" t="s">
        <v>168</v>
      </c>
      <c r="B269" s="25" t="s">
        <v>551</v>
      </c>
      <c r="C269" s="821">
        <v>7800</v>
      </c>
      <c r="D269" s="531"/>
      <c r="E269" s="531"/>
      <c r="F269" s="659"/>
      <c r="G269" s="575"/>
      <c r="H269" s="208"/>
      <c r="I269" s="208"/>
      <c r="J269" s="208"/>
      <c r="K269" s="208"/>
      <c r="L269" s="208"/>
      <c r="M269" s="208"/>
    </row>
    <row r="270" spans="1:13" s="5" customFormat="1" ht="13.5" hidden="1">
      <c r="A270" s="107" t="s">
        <v>212</v>
      </c>
      <c r="B270" s="107" t="s">
        <v>211</v>
      </c>
      <c r="C270" s="821">
        <v>4000</v>
      </c>
      <c r="D270" s="531"/>
      <c r="E270" s="531"/>
      <c r="F270" s="659"/>
      <c r="G270" s="575"/>
      <c r="H270" s="208"/>
      <c r="I270" s="208"/>
      <c r="J270" s="208"/>
      <c r="K270" s="208"/>
      <c r="L270" s="208"/>
      <c r="M270" s="208"/>
    </row>
    <row r="271" spans="1:13" s="5" customFormat="1" ht="13.5">
      <c r="A271" s="353" t="s">
        <v>134</v>
      </c>
      <c r="B271" s="33" t="s">
        <v>133</v>
      </c>
      <c r="C271" s="33">
        <f>SUM(C272)</f>
        <v>12780</v>
      </c>
      <c r="D271" s="531"/>
      <c r="E271" s="531"/>
      <c r="F271" s="659"/>
      <c r="G271" s="575"/>
      <c r="H271" s="208"/>
      <c r="I271" s="208"/>
      <c r="J271" s="208"/>
      <c r="K271" s="208"/>
      <c r="L271" s="208"/>
      <c r="M271" s="208"/>
    </row>
    <row r="272" spans="1:13" s="5" customFormat="1" ht="13.5" hidden="1">
      <c r="A272" s="107" t="s">
        <v>103</v>
      </c>
      <c r="B272" s="25" t="s">
        <v>78</v>
      </c>
      <c r="C272" s="821">
        <v>12780</v>
      </c>
      <c r="D272" s="530"/>
      <c r="E272" s="530"/>
      <c r="F272" s="659"/>
      <c r="G272" s="575"/>
      <c r="H272" s="208"/>
      <c r="I272" s="208"/>
      <c r="J272" s="208"/>
      <c r="K272" s="208"/>
      <c r="L272" s="208"/>
      <c r="M272" s="208"/>
    </row>
    <row r="273" spans="1:13" s="5" customFormat="1" ht="13.5">
      <c r="A273" s="353" t="s">
        <v>169</v>
      </c>
      <c r="B273" s="26" t="s">
        <v>135</v>
      </c>
      <c r="C273" s="26">
        <f>SUM(C274:C276)</f>
        <v>22500</v>
      </c>
      <c r="D273" s="530"/>
      <c r="E273" s="530"/>
      <c r="F273" s="659"/>
      <c r="G273" s="575"/>
      <c r="H273" s="208"/>
      <c r="I273" s="208"/>
      <c r="J273" s="208"/>
      <c r="K273" s="208"/>
      <c r="L273" s="208"/>
      <c r="M273" s="208"/>
    </row>
    <row r="274" spans="1:13" s="5" customFormat="1" ht="13.5" hidden="1">
      <c r="A274" s="107" t="s">
        <v>247</v>
      </c>
      <c r="B274" s="24" t="s">
        <v>246</v>
      </c>
      <c r="C274" s="821">
        <v>6500</v>
      </c>
      <c r="D274" s="530"/>
      <c r="E274" s="530"/>
      <c r="F274" s="659"/>
      <c r="G274" s="575"/>
      <c r="H274" s="208"/>
      <c r="I274" s="208"/>
      <c r="J274" s="208"/>
      <c r="K274" s="208"/>
      <c r="L274" s="208"/>
      <c r="M274" s="208"/>
    </row>
    <row r="275" spans="1:13" s="5" customFormat="1" ht="13.5" hidden="1">
      <c r="A275" s="107" t="s">
        <v>171</v>
      </c>
      <c r="B275" s="25" t="s">
        <v>75</v>
      </c>
      <c r="C275" s="821">
        <v>10000</v>
      </c>
      <c r="D275" s="531"/>
      <c r="E275" s="531"/>
      <c r="F275" s="659"/>
      <c r="G275" s="575"/>
      <c r="H275" s="208"/>
      <c r="I275" s="208"/>
      <c r="J275" s="208"/>
      <c r="K275" s="208"/>
      <c r="L275" s="208"/>
      <c r="M275" s="208"/>
    </row>
    <row r="276" spans="1:13" s="5" customFormat="1" ht="13.5" hidden="1">
      <c r="A276" s="107" t="s">
        <v>173</v>
      </c>
      <c r="B276" s="24" t="s">
        <v>135</v>
      </c>
      <c r="C276" s="821">
        <v>6000</v>
      </c>
      <c r="D276" s="531"/>
      <c r="E276" s="531"/>
      <c r="F276" s="659"/>
      <c r="G276" s="575"/>
      <c r="H276" s="208"/>
      <c r="I276" s="208"/>
      <c r="J276" s="208"/>
      <c r="K276" s="208"/>
      <c r="L276" s="208"/>
      <c r="M276" s="208"/>
    </row>
    <row r="277" spans="1:13" s="5" customFormat="1" ht="14.25" thickBot="1">
      <c r="A277" s="107"/>
      <c r="B277" s="25"/>
      <c r="C277" s="24"/>
      <c r="D277" s="530"/>
      <c r="E277" s="530"/>
      <c r="F277" s="659"/>
      <c r="G277" s="575"/>
      <c r="H277" s="208"/>
      <c r="I277" s="208"/>
      <c r="J277" s="208"/>
      <c r="K277" s="208"/>
      <c r="L277" s="208"/>
      <c r="M277" s="208"/>
    </row>
    <row r="278" spans="1:7" ht="14.25" thickBot="1">
      <c r="A278" s="949" t="s">
        <v>3</v>
      </c>
      <c r="B278" s="950"/>
      <c r="C278" s="36">
        <f>+C281+C287+C290+C293+C279</f>
        <v>1069200</v>
      </c>
      <c r="G278" s="15"/>
    </row>
    <row r="279" spans="1:7" s="527" customFormat="1" ht="13.5" hidden="1">
      <c r="A279" s="353" t="s">
        <v>120</v>
      </c>
      <c r="B279" s="404" t="s">
        <v>121</v>
      </c>
      <c r="C279" s="34">
        <f>SUM(C280:C280)</f>
        <v>0</v>
      </c>
      <c r="D279" s="526"/>
      <c r="F279" s="588"/>
      <c r="G279" s="526"/>
    </row>
    <row r="280" spans="1:13" s="107" customFormat="1" ht="13.5" customHeight="1" hidden="1">
      <c r="A280" s="107" t="s">
        <v>717</v>
      </c>
      <c r="B280" s="25" t="s">
        <v>718</v>
      </c>
      <c r="C280" s="821"/>
      <c r="D280" s="531"/>
      <c r="E280" s="530"/>
      <c r="F280" s="659"/>
      <c r="G280" s="539"/>
      <c r="H280" s="25"/>
      <c r="I280" s="13"/>
      <c r="J280" s="13"/>
      <c r="K280" s="13"/>
      <c r="L280" s="13"/>
      <c r="M280" s="13"/>
    </row>
    <row r="281" spans="1:13" s="107" customFormat="1" ht="13.5" customHeight="1">
      <c r="A281" s="12" t="s">
        <v>130</v>
      </c>
      <c r="B281" s="33" t="s">
        <v>131</v>
      </c>
      <c r="C281" s="33">
        <f>SUM(C282:C286)</f>
        <v>251000</v>
      </c>
      <c r="D281" s="531"/>
      <c r="E281" s="530"/>
      <c r="F281" s="659"/>
      <c r="G281" s="539"/>
      <c r="H281" s="25"/>
      <c r="I281" s="13"/>
      <c r="J281" s="13"/>
      <c r="K281" s="13"/>
      <c r="L281" s="13"/>
      <c r="M281" s="13"/>
    </row>
    <row r="282" spans="1:13" s="107" customFormat="1" ht="13.5" customHeight="1" hidden="1">
      <c r="A282" s="13" t="s">
        <v>327</v>
      </c>
      <c r="B282" s="13" t="s">
        <v>328</v>
      </c>
      <c r="C282" s="821">
        <f>132000-10000</f>
        <v>122000</v>
      </c>
      <c r="E282" s="530"/>
      <c r="F282" s="585"/>
      <c r="G282" s="539"/>
      <c r="H282" s="25"/>
      <c r="I282" s="13"/>
      <c r="J282" s="13"/>
      <c r="K282" s="13"/>
      <c r="L282" s="13"/>
      <c r="M282" s="13"/>
    </row>
    <row r="283" spans="1:13" s="107" customFormat="1" ht="13.5" customHeight="1" hidden="1">
      <c r="A283" s="13" t="s">
        <v>300</v>
      </c>
      <c r="B283" s="57" t="s">
        <v>301</v>
      </c>
      <c r="C283" s="821">
        <v>4000</v>
      </c>
      <c r="E283" s="530"/>
      <c r="F283" s="585"/>
      <c r="G283" s="539"/>
      <c r="H283" s="25"/>
      <c r="I283" s="13"/>
      <c r="J283" s="13"/>
      <c r="K283" s="13"/>
      <c r="L283" s="13"/>
      <c r="M283" s="13"/>
    </row>
    <row r="284" spans="1:13" s="107" customFormat="1" ht="13.5" customHeight="1" hidden="1">
      <c r="A284" s="13" t="s">
        <v>207</v>
      </c>
      <c r="B284" s="13" t="s">
        <v>397</v>
      </c>
      <c r="C284" s="821">
        <v>6500</v>
      </c>
      <c r="E284" s="530"/>
      <c r="F284" s="585"/>
      <c r="G284" s="539"/>
      <c r="H284" s="25"/>
      <c r="I284" s="13"/>
      <c r="J284" s="13"/>
      <c r="K284" s="13"/>
      <c r="L284" s="13"/>
      <c r="M284" s="13"/>
    </row>
    <row r="285" spans="1:13" s="107" customFormat="1" ht="13.5" customHeight="1" hidden="1">
      <c r="A285" s="13" t="s">
        <v>153</v>
      </c>
      <c r="B285" s="13" t="s">
        <v>1163</v>
      </c>
      <c r="C285" s="821">
        <f>105000-10000</f>
        <v>95000</v>
      </c>
      <c r="E285" s="530"/>
      <c r="F285" s="585"/>
      <c r="G285" s="539"/>
      <c r="H285" s="25"/>
      <c r="I285" s="13"/>
      <c r="J285" s="13"/>
      <c r="K285" s="13"/>
      <c r="L285" s="13"/>
      <c r="M285" s="13"/>
    </row>
    <row r="286" spans="1:13" s="107" customFormat="1" ht="13.5" customHeight="1" hidden="1">
      <c r="A286" s="13" t="s">
        <v>148</v>
      </c>
      <c r="B286" s="13" t="s">
        <v>77</v>
      </c>
      <c r="C286" s="821">
        <v>23500</v>
      </c>
      <c r="E286" s="530"/>
      <c r="F286" s="535"/>
      <c r="G286" s="539"/>
      <c r="H286" s="25"/>
      <c r="I286" s="13"/>
      <c r="J286" s="13"/>
      <c r="K286" s="13"/>
      <c r="L286" s="13"/>
      <c r="M286" s="13"/>
    </row>
    <row r="287" spans="1:13" s="107" customFormat="1" ht="13.5" customHeight="1">
      <c r="A287" s="353" t="s">
        <v>122</v>
      </c>
      <c r="B287" s="33" t="s">
        <v>175</v>
      </c>
      <c r="C287" s="33">
        <f>SUM(C288:C289)</f>
        <v>116000</v>
      </c>
      <c r="E287" s="530"/>
      <c r="F287" s="531"/>
      <c r="G287" s="539"/>
      <c r="H287" s="25"/>
      <c r="I287" s="13"/>
      <c r="J287" s="13"/>
      <c r="K287" s="13"/>
      <c r="L287" s="13"/>
      <c r="M287" s="13"/>
    </row>
    <row r="288" spans="1:13" s="107" customFormat="1" ht="13.5" customHeight="1" hidden="1">
      <c r="A288" s="107" t="s">
        <v>150</v>
      </c>
      <c r="B288" s="13" t="s">
        <v>149</v>
      </c>
      <c r="C288" s="821">
        <v>6000</v>
      </c>
      <c r="E288" s="530"/>
      <c r="F288" s="531"/>
      <c r="G288" s="539"/>
      <c r="H288" s="25"/>
      <c r="I288" s="13"/>
      <c r="J288" s="13"/>
      <c r="K288" s="13"/>
      <c r="L288" s="13"/>
      <c r="M288" s="13"/>
    </row>
    <row r="289" spans="1:13" s="107" customFormat="1" ht="13.5" customHeight="1" hidden="1">
      <c r="A289" s="107" t="s">
        <v>174</v>
      </c>
      <c r="B289" s="13" t="s">
        <v>97</v>
      </c>
      <c r="C289" s="821">
        <v>110000</v>
      </c>
      <c r="E289" s="530"/>
      <c r="F289" s="531"/>
      <c r="G289" s="539"/>
      <c r="H289" s="25"/>
      <c r="I289" s="13"/>
      <c r="J289" s="13"/>
      <c r="K289" s="13"/>
      <c r="L289" s="13"/>
      <c r="M289" s="13"/>
    </row>
    <row r="290" spans="1:13" s="107" customFormat="1" ht="13.5" customHeight="1">
      <c r="A290" s="12" t="s">
        <v>123</v>
      </c>
      <c r="B290" s="12" t="s">
        <v>124</v>
      </c>
      <c r="C290" s="33">
        <f>SUM(C291:C292)</f>
        <v>32500</v>
      </c>
      <c r="E290" s="530"/>
      <c r="F290" s="531"/>
      <c r="G290" s="539"/>
      <c r="H290" s="25"/>
      <c r="I290" s="13"/>
      <c r="J290" s="13"/>
      <c r="K290" s="13"/>
      <c r="L290" s="13"/>
      <c r="M290" s="13"/>
    </row>
    <row r="291" spans="1:13" s="107" customFormat="1" ht="13.5" customHeight="1" hidden="1">
      <c r="A291" s="13" t="s">
        <v>58</v>
      </c>
      <c r="B291" s="13" t="s">
        <v>59</v>
      </c>
      <c r="C291" s="821">
        <v>10000</v>
      </c>
      <c r="E291" s="530"/>
      <c r="F291" s="531"/>
      <c r="G291" s="539"/>
      <c r="H291" s="13"/>
      <c r="I291" s="13"/>
      <c r="J291" s="13"/>
      <c r="K291" s="13"/>
      <c r="L291" s="13"/>
      <c r="M291" s="13"/>
    </row>
    <row r="292" spans="1:13" s="107" customFormat="1" ht="13.5" customHeight="1" hidden="1">
      <c r="A292" s="13" t="s">
        <v>184</v>
      </c>
      <c r="B292" s="13" t="s">
        <v>83</v>
      </c>
      <c r="C292" s="821">
        <v>22500</v>
      </c>
      <c r="E292" s="530"/>
      <c r="F292" s="535"/>
      <c r="G292" s="539"/>
      <c r="H292" s="13"/>
      <c r="I292" s="13"/>
      <c r="J292" s="13"/>
      <c r="K292" s="13"/>
      <c r="L292" s="13"/>
      <c r="M292" s="13"/>
    </row>
    <row r="293" spans="1:13" s="107" customFormat="1" ht="13.5" customHeight="1">
      <c r="A293" s="353" t="s">
        <v>125</v>
      </c>
      <c r="B293" s="33" t="s">
        <v>8</v>
      </c>
      <c r="C293" s="33">
        <f>SUM(C294:C299)</f>
        <v>669700</v>
      </c>
      <c r="E293" s="530"/>
      <c r="F293" s="531"/>
      <c r="G293" s="539"/>
      <c r="H293" s="13"/>
      <c r="I293" s="13"/>
      <c r="J293" s="13"/>
      <c r="K293" s="13"/>
      <c r="L293" s="13"/>
      <c r="M293" s="13"/>
    </row>
    <row r="294" spans="1:13" s="107" customFormat="1" ht="13.5" customHeight="1" hidden="1">
      <c r="A294" s="107" t="s">
        <v>102</v>
      </c>
      <c r="B294" s="25" t="s">
        <v>8</v>
      </c>
      <c r="C294" s="821">
        <f>440700</f>
        <v>440700</v>
      </c>
      <c r="E294" s="531"/>
      <c r="F294" s="534"/>
      <c r="G294" s="539"/>
      <c r="H294" s="13"/>
      <c r="I294" s="13"/>
      <c r="J294" s="13"/>
      <c r="K294" s="13"/>
      <c r="L294" s="13"/>
      <c r="M294" s="13"/>
    </row>
    <row r="295" spans="1:13" s="107" customFormat="1" ht="13.5" customHeight="1" hidden="1">
      <c r="A295" s="107" t="s">
        <v>104</v>
      </c>
      <c r="B295" s="25" t="s">
        <v>54</v>
      </c>
      <c r="C295" s="821">
        <v>6500</v>
      </c>
      <c r="E295" s="531"/>
      <c r="F295" s="13"/>
      <c r="G295" s="539"/>
      <c r="H295" s="13"/>
      <c r="I295" s="13"/>
      <c r="J295" s="13"/>
      <c r="K295" s="13"/>
      <c r="L295" s="13"/>
      <c r="M295" s="13"/>
    </row>
    <row r="296" spans="1:13" s="107" customFormat="1" ht="13.5" customHeight="1" hidden="1">
      <c r="A296" s="107" t="s">
        <v>268</v>
      </c>
      <c r="B296" s="57" t="s">
        <v>267</v>
      </c>
      <c r="C296" s="821">
        <v>13000</v>
      </c>
      <c r="E296" s="531"/>
      <c r="F296" s="13"/>
      <c r="G296" s="539"/>
      <c r="H296" s="13"/>
      <c r="I296" s="13"/>
      <c r="J296" s="13"/>
      <c r="K296" s="13"/>
      <c r="L296" s="13"/>
      <c r="M296" s="13"/>
    </row>
    <row r="297" spans="1:13" s="107" customFormat="1" ht="13.5" customHeight="1" hidden="1">
      <c r="A297" s="107" t="s">
        <v>266</v>
      </c>
      <c r="B297" s="13" t="s">
        <v>265</v>
      </c>
      <c r="C297" s="821">
        <f>200000</f>
        <v>200000</v>
      </c>
      <c r="E297" s="531"/>
      <c r="F297" s="13"/>
      <c r="G297" s="539"/>
      <c r="H297" s="13"/>
      <c r="I297" s="13"/>
      <c r="J297" s="13"/>
      <c r="K297" s="13"/>
      <c r="L297" s="13"/>
      <c r="M297" s="13"/>
    </row>
    <row r="298" spans="1:13" s="107" customFormat="1" ht="13.5" customHeight="1" hidden="1">
      <c r="A298" s="13" t="s">
        <v>242</v>
      </c>
      <c r="B298" s="25" t="s">
        <v>794</v>
      </c>
      <c r="C298" s="809"/>
      <c r="E298" s="531"/>
      <c r="F298" s="13"/>
      <c r="G298" s="539"/>
      <c r="H298" s="13"/>
      <c r="I298" s="13"/>
      <c r="J298" s="13"/>
      <c r="K298" s="13"/>
      <c r="L298" s="13"/>
      <c r="M298" s="13"/>
    </row>
    <row r="299" spans="1:13" s="107" customFormat="1" ht="13.5" customHeight="1" hidden="1">
      <c r="A299" s="107" t="s">
        <v>100</v>
      </c>
      <c r="B299" s="25" t="s">
        <v>7</v>
      </c>
      <c r="C299" s="821">
        <v>9500</v>
      </c>
      <c r="D299" s="531"/>
      <c r="E299" s="530"/>
      <c r="F299" s="659"/>
      <c r="G299" s="539"/>
      <c r="H299" s="13"/>
      <c r="I299" s="13"/>
      <c r="J299" s="25"/>
      <c r="K299" s="13"/>
      <c r="L299" s="13"/>
      <c r="M299" s="13"/>
    </row>
    <row r="300" spans="2:13" s="107" customFormat="1" ht="13.5" customHeight="1" thickBot="1">
      <c r="B300" s="25"/>
      <c r="C300" s="24"/>
      <c r="D300" s="661"/>
      <c r="E300" s="531"/>
      <c r="F300" s="659"/>
      <c r="G300" s="539"/>
      <c r="H300" s="13"/>
      <c r="I300" s="13"/>
      <c r="J300" s="13"/>
      <c r="K300" s="13"/>
      <c r="L300" s="13"/>
      <c r="M300" s="13"/>
    </row>
    <row r="301" spans="1:3" ht="14.25" thickBot="1">
      <c r="A301" s="951" t="s">
        <v>4</v>
      </c>
      <c r="B301" s="952"/>
      <c r="C301" s="662">
        <f>C302+C305+C308</f>
        <v>210250</v>
      </c>
    </row>
    <row r="302" spans="1:6" s="527" customFormat="1" ht="13.5">
      <c r="A302" s="353" t="s">
        <v>126</v>
      </c>
      <c r="B302" s="404" t="s">
        <v>127</v>
      </c>
      <c r="C302" s="34">
        <f>SUM(C303:C304)</f>
        <v>51250</v>
      </c>
      <c r="D302" s="526"/>
      <c r="E302" s="526"/>
      <c r="F302" s="588"/>
    </row>
    <row r="303" spans="1:13" s="5" customFormat="1" ht="13.5" hidden="1">
      <c r="A303" s="107" t="s">
        <v>101</v>
      </c>
      <c r="B303" s="107" t="s">
        <v>152</v>
      </c>
      <c r="C303" s="821">
        <f>20750-5000</f>
        <v>15750</v>
      </c>
      <c r="D303" s="530"/>
      <c r="E303" s="530"/>
      <c r="F303" s="659"/>
      <c r="G303" s="575"/>
      <c r="H303" s="208"/>
      <c r="I303" s="208"/>
      <c r="J303" s="208"/>
      <c r="K303" s="208"/>
      <c r="L303" s="208"/>
      <c r="M303" s="208"/>
    </row>
    <row r="304" spans="1:3" ht="13.5" hidden="1">
      <c r="A304" s="107" t="s">
        <v>62</v>
      </c>
      <c r="B304" s="13" t="s">
        <v>63</v>
      </c>
      <c r="C304" s="826">
        <f>65500-10000-20000</f>
        <v>35500</v>
      </c>
    </row>
    <row r="305" spans="1:3" ht="13.5">
      <c r="A305" s="353" t="s">
        <v>128</v>
      </c>
      <c r="B305" s="12" t="s">
        <v>141</v>
      </c>
      <c r="C305" s="28">
        <f>SUM(C306:C307)</f>
        <v>152000</v>
      </c>
    </row>
    <row r="306" spans="1:3" ht="13.5" hidden="1">
      <c r="A306" s="107" t="s">
        <v>981</v>
      </c>
      <c r="B306" s="13" t="s">
        <v>982</v>
      </c>
      <c r="C306" s="826">
        <v>133000</v>
      </c>
    </row>
    <row r="307" spans="1:3" ht="13.5" hidden="1">
      <c r="A307" s="107" t="s">
        <v>239</v>
      </c>
      <c r="B307" s="13" t="s">
        <v>983</v>
      </c>
      <c r="C307" s="826">
        <v>19000</v>
      </c>
    </row>
    <row r="308" spans="1:3" ht="13.5">
      <c r="A308" s="353" t="s">
        <v>188</v>
      </c>
      <c r="B308" s="26" t="s">
        <v>145</v>
      </c>
      <c r="C308" s="28">
        <f>SUM(C309)</f>
        <v>7000</v>
      </c>
    </row>
    <row r="309" spans="1:13" s="5" customFormat="1" ht="13.5" hidden="1">
      <c r="A309" s="107" t="s">
        <v>189</v>
      </c>
      <c r="B309" s="24" t="s">
        <v>56</v>
      </c>
      <c r="C309" s="821">
        <v>7000</v>
      </c>
      <c r="D309" s="530"/>
      <c r="E309" s="530"/>
      <c r="F309" s="659"/>
      <c r="G309" s="575"/>
      <c r="H309" s="208"/>
      <c r="I309" s="208"/>
      <c r="J309" s="208"/>
      <c r="K309" s="208"/>
      <c r="L309" s="208"/>
      <c r="M309" s="208"/>
    </row>
    <row r="310" spans="1:13" s="5" customFormat="1" ht="13.5">
      <c r="A310" s="107"/>
      <c r="B310" s="24"/>
      <c r="C310" s="25"/>
      <c r="D310" s="530"/>
      <c r="E310" s="530"/>
      <c r="F310" s="659"/>
      <c r="G310" s="575"/>
      <c r="H310" s="208"/>
      <c r="I310" s="208"/>
      <c r="J310" s="208"/>
      <c r="K310" s="208"/>
      <c r="L310" s="208"/>
      <c r="M310" s="208"/>
    </row>
    <row r="311" spans="1:3" ht="14.25" thickBot="1">
      <c r="A311" s="107"/>
      <c r="B311" s="107"/>
      <c r="C311" s="29"/>
    </row>
    <row r="312" spans="1:6" s="1" customFormat="1" ht="12.75">
      <c r="A312" s="64" t="s">
        <v>984</v>
      </c>
      <c r="B312" s="221"/>
      <c r="C312" s="65"/>
      <c r="D312" s="67" t="s">
        <v>6</v>
      </c>
      <c r="E312" s="516" t="s">
        <v>985</v>
      </c>
      <c r="F312" s="655"/>
    </row>
    <row r="313" spans="1:6" s="1" customFormat="1" ht="13.5" thickBot="1">
      <c r="A313" s="49"/>
      <c r="B313" s="205"/>
      <c r="C313" s="119"/>
      <c r="D313" s="121"/>
      <c r="E313" s="517"/>
      <c r="F313" s="655"/>
    </row>
    <row r="314" spans="1:5" s="1" customFormat="1" ht="12.75">
      <c r="A314" s="45" t="s">
        <v>986</v>
      </c>
      <c r="B314" s="208"/>
      <c r="C314" s="172"/>
      <c r="D314" s="172"/>
      <c r="E314" s="450"/>
    </row>
    <row r="315" spans="1:5" s="1" customFormat="1" ht="12.75">
      <c r="A315" s="45" t="s">
        <v>987</v>
      </c>
      <c r="B315" s="208"/>
      <c r="C315" s="172"/>
      <c r="D315" s="172"/>
      <c r="E315" s="450"/>
    </row>
    <row r="316" spans="1:5" s="1" customFormat="1" ht="12.75">
      <c r="A316" s="45" t="s">
        <v>988</v>
      </c>
      <c r="B316" s="208"/>
      <c r="C316" s="172"/>
      <c r="D316" s="172"/>
      <c r="E316" s="450"/>
    </row>
    <row r="317" spans="1:6" s="1" customFormat="1" ht="13.5">
      <c r="A317" s="45" t="s">
        <v>989</v>
      </c>
      <c r="B317" s="208"/>
      <c r="C317" s="172"/>
      <c r="D317" s="172"/>
      <c r="E317" s="450"/>
      <c r="F317" s="665"/>
    </row>
    <row r="318" spans="1:5" s="1" customFormat="1" ht="12.75">
      <c r="A318" s="45" t="s">
        <v>990</v>
      </c>
      <c r="B318" s="208"/>
      <c r="C318" s="172"/>
      <c r="D318" s="172"/>
      <c r="E318" s="450"/>
    </row>
    <row r="319" spans="1:5" s="1" customFormat="1" ht="12.75">
      <c r="A319" s="45" t="s">
        <v>991</v>
      </c>
      <c r="B319" s="208"/>
      <c r="C319" s="172"/>
      <c r="D319" s="172"/>
      <c r="E319" s="450"/>
    </row>
    <row r="320" spans="1:6" s="1" customFormat="1" ht="12.75">
      <c r="A320" s="45" t="s">
        <v>992</v>
      </c>
      <c r="B320" s="208"/>
      <c r="C320" s="172"/>
      <c r="D320" s="172"/>
      <c r="E320" s="450"/>
      <c r="F320" s="655"/>
    </row>
    <row r="321" spans="1:6" s="1" customFormat="1" ht="12.75">
      <c r="A321" s="45" t="s">
        <v>993</v>
      </c>
      <c r="B321" s="208"/>
      <c r="C321" s="172"/>
      <c r="D321" s="172"/>
      <c r="E321" s="450"/>
      <c r="F321" s="655"/>
    </row>
    <row r="322" spans="1:6" s="1" customFormat="1" ht="13.5" customHeight="1">
      <c r="A322" s="45" t="s">
        <v>994</v>
      </c>
      <c r="B322" s="208"/>
      <c r="C322" s="172"/>
      <c r="D322" s="172"/>
      <c r="E322" s="450"/>
      <c r="F322" s="655"/>
    </row>
    <row r="323" spans="1:6" s="1" customFormat="1" ht="12.75">
      <c r="A323" s="45" t="s">
        <v>995</v>
      </c>
      <c r="B323" s="208"/>
      <c r="C323" s="172"/>
      <c r="D323" s="172"/>
      <c r="E323" s="450"/>
      <c r="F323" s="655"/>
    </row>
    <row r="324" spans="1:6" s="1" customFormat="1" ht="13.5" thickBot="1">
      <c r="A324" s="49" t="s">
        <v>996</v>
      </c>
      <c r="B324" s="205"/>
      <c r="C324" s="119"/>
      <c r="D324" s="119"/>
      <c r="E324" s="452"/>
      <c r="F324" s="655"/>
    </row>
    <row r="325" spans="1:6" s="1" customFormat="1" ht="13.5">
      <c r="A325" s="52" t="s">
        <v>1365</v>
      </c>
      <c r="B325" s="13"/>
      <c r="C325" s="25"/>
      <c r="D325" s="25"/>
      <c r="E325" s="453"/>
      <c r="F325" s="657"/>
    </row>
    <row r="326" spans="1:6" s="1" customFormat="1" ht="13.5">
      <c r="A326" s="52" t="s">
        <v>926</v>
      </c>
      <c r="B326" s="13"/>
      <c r="C326" s="25"/>
      <c r="D326" s="25"/>
      <c r="E326" s="453"/>
      <c r="F326" s="657"/>
    </row>
    <row r="327" spans="1:7" s="1" customFormat="1" ht="13.5">
      <c r="A327" s="52" t="s">
        <v>1421</v>
      </c>
      <c r="B327" s="13"/>
      <c r="C327" s="25"/>
      <c r="D327" s="25"/>
      <c r="E327" s="453"/>
      <c r="F327" s="655"/>
      <c r="G327" s="15"/>
    </row>
    <row r="328" spans="1:6" s="1" customFormat="1" ht="14.25" thickBot="1">
      <c r="A328" s="111" t="s">
        <v>997</v>
      </c>
      <c r="B328" s="196"/>
      <c r="C328" s="556"/>
      <c r="D328" s="556"/>
      <c r="E328" s="557"/>
      <c r="F328" s="655"/>
    </row>
    <row r="329" spans="1:6" s="1" customFormat="1" ht="14.25" thickBot="1">
      <c r="A329" s="54" t="s">
        <v>17</v>
      </c>
      <c r="B329" s="667"/>
      <c r="C329" s="55"/>
      <c r="D329" s="191"/>
      <c r="E329" s="161">
        <f>+C331+C359+C385</f>
        <v>1934040</v>
      </c>
      <c r="F329" s="655"/>
    </row>
    <row r="330" spans="1:6" ht="14.25" thickBot="1">
      <c r="A330" s="110"/>
      <c r="F330" s="547"/>
    </row>
    <row r="331" spans="1:6" ht="14.25" thickBot="1">
      <c r="A331" s="947" t="s">
        <v>2</v>
      </c>
      <c r="B331" s="948"/>
      <c r="C331" s="38">
        <f>C332+C334+C337+C339+C343+C346+C350+C354</f>
        <v>187570</v>
      </c>
      <c r="F331" s="282"/>
    </row>
    <row r="332" spans="1:6" s="527" customFormat="1" ht="13.5">
      <c r="A332" s="12" t="s">
        <v>113</v>
      </c>
      <c r="B332" s="404" t="s">
        <v>114</v>
      </c>
      <c r="C332" s="34">
        <f>SUM(C333)</f>
        <v>13900</v>
      </c>
      <c r="D332" s="526"/>
      <c r="E332" s="526"/>
      <c r="F332" s="588"/>
    </row>
    <row r="333" spans="1:7" s="13" customFormat="1" ht="13.5" customHeight="1" hidden="1">
      <c r="A333" s="13" t="s">
        <v>50</v>
      </c>
      <c r="B333" s="13" t="s">
        <v>49</v>
      </c>
      <c r="C333" s="821">
        <v>13900</v>
      </c>
      <c r="D333" s="585"/>
      <c r="E333" s="531"/>
      <c r="F333" s="659"/>
      <c r="G333" s="575"/>
    </row>
    <row r="334" spans="1:7" s="13" customFormat="1" ht="13.5" customHeight="1">
      <c r="A334" s="12" t="s">
        <v>223</v>
      </c>
      <c r="B334" s="812" t="s">
        <v>222</v>
      </c>
      <c r="C334" s="33">
        <f>SUM(C335:C336)</f>
        <v>17550</v>
      </c>
      <c r="D334" s="585"/>
      <c r="E334" s="531"/>
      <c r="F334" s="588"/>
      <c r="G334" s="575"/>
    </row>
    <row r="335" spans="1:7" s="13" customFormat="1" ht="13.5" customHeight="1" hidden="1">
      <c r="A335" s="13" t="s">
        <v>221</v>
      </c>
      <c r="B335" s="57" t="s">
        <v>220</v>
      </c>
      <c r="C335" s="821">
        <v>11050</v>
      </c>
      <c r="D335" s="585"/>
      <c r="E335" s="531"/>
      <c r="F335" s="588"/>
      <c r="G335" s="575"/>
    </row>
    <row r="336" spans="1:7" s="13" customFormat="1" ht="13.5" customHeight="1" hidden="1">
      <c r="A336" s="13" t="s">
        <v>271</v>
      </c>
      <c r="B336" s="57" t="s">
        <v>270</v>
      </c>
      <c r="C336" s="821">
        <v>6500</v>
      </c>
      <c r="D336" s="585"/>
      <c r="E336" s="531"/>
      <c r="F336" s="659"/>
      <c r="G336" s="575"/>
    </row>
    <row r="337" spans="1:7" s="13" customFormat="1" ht="13.5" customHeight="1">
      <c r="A337" s="12" t="s">
        <v>115</v>
      </c>
      <c r="B337" s="12" t="s">
        <v>116</v>
      </c>
      <c r="C337" s="33">
        <f>SUM(C338)</f>
        <v>35900</v>
      </c>
      <c r="D337" s="531"/>
      <c r="F337" s="527"/>
      <c r="G337" s="575"/>
    </row>
    <row r="338" spans="1:13" s="5" customFormat="1" ht="13.5" hidden="1">
      <c r="A338" s="13" t="s">
        <v>96</v>
      </c>
      <c r="B338" s="107" t="s">
        <v>71</v>
      </c>
      <c r="C338" s="821">
        <v>35900</v>
      </c>
      <c r="D338" s="596"/>
      <c r="E338" s="208"/>
      <c r="F338" s="659"/>
      <c r="G338" s="208"/>
      <c r="H338" s="208"/>
      <c r="I338" s="208"/>
      <c r="J338" s="208"/>
      <c r="K338" s="208"/>
      <c r="L338" s="208"/>
      <c r="M338" s="208"/>
    </row>
    <row r="339" spans="1:13" s="5" customFormat="1" ht="13.5">
      <c r="A339" s="12" t="s">
        <v>117</v>
      </c>
      <c r="B339" s="353" t="s">
        <v>118</v>
      </c>
      <c r="C339" s="33">
        <f>SUM(C340:C342)</f>
        <v>36800</v>
      </c>
      <c r="D339" s="674"/>
      <c r="E339" s="670"/>
      <c r="F339" s="659"/>
      <c r="G339" s="208"/>
      <c r="H339" s="208"/>
      <c r="I339" s="208"/>
      <c r="J339" s="208"/>
      <c r="K339" s="208"/>
      <c r="L339" s="208"/>
      <c r="M339" s="208"/>
    </row>
    <row r="340" spans="1:13" s="5" customFormat="1" ht="13.5" hidden="1">
      <c r="A340" s="13" t="s">
        <v>51</v>
      </c>
      <c r="B340" s="24" t="s">
        <v>52</v>
      </c>
      <c r="C340" s="821">
        <v>12000</v>
      </c>
      <c r="D340" s="674"/>
      <c r="E340" s="670"/>
      <c r="F340" s="659"/>
      <c r="G340" s="575"/>
      <c r="H340" s="208"/>
      <c r="I340" s="208"/>
      <c r="J340" s="208"/>
      <c r="K340" s="208"/>
      <c r="L340" s="208"/>
      <c r="M340" s="208"/>
    </row>
    <row r="341" spans="1:13" s="5" customFormat="1" ht="13.5" hidden="1">
      <c r="A341" s="13" t="s">
        <v>749</v>
      </c>
      <c r="B341" s="24" t="s">
        <v>750</v>
      </c>
      <c r="C341" s="821">
        <v>9300</v>
      </c>
      <c r="D341" s="663"/>
      <c r="E341" s="670"/>
      <c r="F341" s="659"/>
      <c r="G341" s="575"/>
      <c r="H341" s="208"/>
      <c r="I341" s="208"/>
      <c r="J341" s="208"/>
      <c r="K341" s="208"/>
      <c r="L341" s="208"/>
      <c r="M341" s="208"/>
    </row>
    <row r="342" spans="1:13" s="5" customFormat="1" ht="13.5" hidden="1">
      <c r="A342" s="13" t="s">
        <v>751</v>
      </c>
      <c r="B342" s="57" t="s">
        <v>752</v>
      </c>
      <c r="C342" s="821">
        <v>15500</v>
      </c>
      <c r="D342" s="663"/>
      <c r="E342" s="670"/>
      <c r="F342" s="659"/>
      <c r="G342" s="575"/>
      <c r="H342" s="208"/>
      <c r="I342" s="208"/>
      <c r="J342" s="208"/>
      <c r="K342" s="208"/>
      <c r="L342" s="208"/>
      <c r="M342" s="208"/>
    </row>
    <row r="343" spans="1:13" s="5" customFormat="1" ht="13.5">
      <c r="A343" s="12" t="s">
        <v>219</v>
      </c>
      <c r="B343" s="812" t="s">
        <v>218</v>
      </c>
      <c r="C343" s="33">
        <f>SUM(C344:C345)</f>
        <v>13260</v>
      </c>
      <c r="D343" s="663"/>
      <c r="E343" s="670"/>
      <c r="F343" s="659"/>
      <c r="G343" s="575"/>
      <c r="H343" s="208"/>
      <c r="I343" s="208"/>
      <c r="J343" s="208"/>
      <c r="K343" s="208"/>
      <c r="L343" s="208"/>
      <c r="M343" s="208"/>
    </row>
    <row r="344" spans="1:13" s="5" customFormat="1" ht="13.5" hidden="1">
      <c r="A344" s="13" t="s">
        <v>217</v>
      </c>
      <c r="B344" s="57" t="s">
        <v>216</v>
      </c>
      <c r="C344" s="821">
        <v>6600</v>
      </c>
      <c r="D344" s="663"/>
      <c r="E344" s="670"/>
      <c r="F344" s="659"/>
      <c r="G344" s="575"/>
      <c r="H344" s="208"/>
      <c r="I344" s="208"/>
      <c r="J344" s="208"/>
      <c r="K344" s="208"/>
      <c r="L344" s="208"/>
      <c r="M344" s="208"/>
    </row>
    <row r="345" spans="1:13" s="5" customFormat="1" ht="13.5" hidden="1">
      <c r="A345" s="13" t="s">
        <v>251</v>
      </c>
      <c r="B345" s="57" t="s">
        <v>250</v>
      </c>
      <c r="C345" s="821">
        <v>6660</v>
      </c>
      <c r="D345" s="663"/>
      <c r="E345" s="670"/>
      <c r="F345" s="659"/>
      <c r="G345" s="575"/>
      <c r="H345" s="208"/>
      <c r="I345" s="208"/>
      <c r="J345" s="208"/>
      <c r="K345" s="208"/>
      <c r="L345" s="208"/>
      <c r="M345" s="208"/>
    </row>
    <row r="346" spans="1:13" s="5" customFormat="1" ht="13.5">
      <c r="A346" s="353" t="s">
        <v>129</v>
      </c>
      <c r="B346" s="26" t="s">
        <v>119</v>
      </c>
      <c r="C346" s="33">
        <f>SUM(C347:C349)</f>
        <v>16610</v>
      </c>
      <c r="D346" s="596"/>
      <c r="E346" s="208"/>
      <c r="F346" s="659"/>
      <c r="G346" s="575"/>
      <c r="H346" s="208"/>
      <c r="I346" s="208"/>
      <c r="J346" s="208"/>
      <c r="K346" s="208"/>
      <c r="L346" s="208"/>
      <c r="M346" s="208"/>
    </row>
    <row r="347" spans="1:13" s="5" customFormat="1" ht="13.5" hidden="1">
      <c r="A347" s="107" t="s">
        <v>168</v>
      </c>
      <c r="B347" s="25" t="s">
        <v>551</v>
      </c>
      <c r="C347" s="821">
        <v>4560</v>
      </c>
      <c r="E347" s="531"/>
      <c r="F347" s="659"/>
      <c r="G347" s="575"/>
      <c r="H347" s="208"/>
      <c r="I347" s="208"/>
      <c r="J347" s="208"/>
      <c r="K347" s="208"/>
      <c r="L347" s="208"/>
      <c r="M347" s="208"/>
    </row>
    <row r="348" spans="1:13" s="5" customFormat="1" ht="13.5" hidden="1">
      <c r="A348" s="107" t="s">
        <v>210</v>
      </c>
      <c r="B348" s="57" t="s">
        <v>1167</v>
      </c>
      <c r="C348" s="821">
        <v>3600</v>
      </c>
      <c r="E348" s="531"/>
      <c r="F348" s="659"/>
      <c r="G348" s="575"/>
      <c r="H348" s="208"/>
      <c r="I348" s="208"/>
      <c r="J348" s="208"/>
      <c r="K348" s="208"/>
      <c r="L348" s="208"/>
      <c r="M348" s="208"/>
    </row>
    <row r="349" spans="1:13" s="5" customFormat="1" ht="13.5" hidden="1">
      <c r="A349" s="107" t="s">
        <v>1169</v>
      </c>
      <c r="B349" s="57" t="s">
        <v>1168</v>
      </c>
      <c r="C349" s="821">
        <v>8450</v>
      </c>
      <c r="E349" s="531"/>
      <c r="F349" s="659"/>
      <c r="G349" s="575"/>
      <c r="H349" s="208"/>
      <c r="I349" s="208"/>
      <c r="J349" s="208"/>
      <c r="K349" s="208"/>
      <c r="L349" s="208"/>
      <c r="M349" s="208"/>
    </row>
    <row r="350" spans="1:13" s="5" customFormat="1" ht="13.5">
      <c r="A350" s="353" t="s">
        <v>134</v>
      </c>
      <c r="B350" s="33" t="s">
        <v>133</v>
      </c>
      <c r="C350" s="33">
        <f>SUM(C351:C353)</f>
        <v>28800</v>
      </c>
      <c r="D350" s="585"/>
      <c r="E350" s="531"/>
      <c r="F350" s="659"/>
      <c r="G350" s="575"/>
      <c r="H350" s="208"/>
      <c r="I350" s="208"/>
      <c r="J350" s="208"/>
      <c r="K350" s="208"/>
      <c r="L350" s="208"/>
      <c r="M350" s="208"/>
    </row>
    <row r="351" spans="1:9" s="13" customFormat="1" ht="13.5" customHeight="1" hidden="1">
      <c r="A351" s="107" t="s">
        <v>277</v>
      </c>
      <c r="B351" s="24" t="s">
        <v>276</v>
      </c>
      <c r="C351" s="821">
        <v>12900</v>
      </c>
      <c r="D351" s="23"/>
      <c r="E351" s="33"/>
      <c r="G351" s="25"/>
      <c r="I351" s="402"/>
    </row>
    <row r="352" spans="1:9" s="13" customFormat="1" ht="13.5" customHeight="1" hidden="1">
      <c r="A352" s="13" t="s">
        <v>323</v>
      </c>
      <c r="B352" s="25" t="s">
        <v>324</v>
      </c>
      <c r="C352" s="821">
        <v>4850</v>
      </c>
      <c r="D352" s="116"/>
      <c r="E352" s="33"/>
      <c r="G352" s="25"/>
      <c r="I352" s="402"/>
    </row>
    <row r="353" spans="1:13" s="5" customFormat="1" ht="13.5" hidden="1">
      <c r="A353" s="107" t="s">
        <v>103</v>
      </c>
      <c r="B353" s="25" t="s">
        <v>78</v>
      </c>
      <c r="C353" s="821">
        <v>11050</v>
      </c>
      <c r="D353" s="530"/>
      <c r="E353" s="530"/>
      <c r="F353" s="659"/>
      <c r="G353" s="575"/>
      <c r="H353" s="208"/>
      <c r="I353" s="208"/>
      <c r="J353" s="208"/>
      <c r="K353" s="208"/>
      <c r="L353" s="208"/>
      <c r="M353" s="208"/>
    </row>
    <row r="354" spans="1:13" s="5" customFormat="1" ht="13.5">
      <c r="A354" s="353" t="s">
        <v>169</v>
      </c>
      <c r="B354" s="26" t="s">
        <v>135</v>
      </c>
      <c r="C354" s="26">
        <f>SUM(C355:C357)</f>
        <v>24750</v>
      </c>
      <c r="D354" s="530"/>
      <c r="E354" s="530"/>
      <c r="F354" s="659"/>
      <c r="G354" s="575"/>
      <c r="H354" s="208"/>
      <c r="I354" s="208"/>
      <c r="J354" s="208"/>
      <c r="K354" s="208"/>
      <c r="L354" s="208"/>
      <c r="M354" s="208"/>
    </row>
    <row r="355" spans="1:13" s="5" customFormat="1" ht="13.5" hidden="1">
      <c r="A355" s="107" t="s">
        <v>247</v>
      </c>
      <c r="B355" s="24" t="s">
        <v>246</v>
      </c>
      <c r="C355" s="821">
        <v>9500</v>
      </c>
      <c r="D355" s="530"/>
      <c r="E355" s="530"/>
      <c r="F355" s="659"/>
      <c r="G355" s="575"/>
      <c r="H355" s="208"/>
      <c r="I355" s="208"/>
      <c r="J355" s="208"/>
      <c r="K355" s="208"/>
      <c r="L355" s="208"/>
      <c r="M355" s="208"/>
    </row>
    <row r="356" spans="1:13" s="5" customFormat="1" ht="13.5" hidden="1">
      <c r="A356" s="107" t="s">
        <v>171</v>
      </c>
      <c r="B356" s="25" t="s">
        <v>75</v>
      </c>
      <c r="C356" s="821">
        <v>7450</v>
      </c>
      <c r="D356" s="657"/>
      <c r="E356" s="531"/>
      <c r="F356" s="659"/>
      <c r="G356" s="575"/>
      <c r="H356" s="208"/>
      <c r="I356" s="208"/>
      <c r="J356" s="208"/>
      <c r="K356" s="208"/>
      <c r="L356" s="208"/>
      <c r="M356" s="208"/>
    </row>
    <row r="357" spans="1:13" s="5" customFormat="1" ht="13.5" hidden="1">
      <c r="A357" s="107" t="s">
        <v>173</v>
      </c>
      <c r="B357" s="24" t="s">
        <v>135</v>
      </c>
      <c r="C357" s="821">
        <v>7800</v>
      </c>
      <c r="E357" s="531"/>
      <c r="F357" s="585"/>
      <c r="G357" s="575"/>
      <c r="H357" s="208"/>
      <c r="I357" s="208"/>
      <c r="J357" s="208"/>
      <c r="K357" s="208"/>
      <c r="L357" s="208"/>
      <c r="M357" s="208"/>
    </row>
    <row r="358" spans="1:13" s="5" customFormat="1" ht="14.25" thickBot="1">
      <c r="A358" s="107"/>
      <c r="B358" s="25"/>
      <c r="C358" s="24"/>
      <c r="D358" s="530"/>
      <c r="E358" s="530"/>
      <c r="F358" s="659"/>
      <c r="G358" s="575"/>
      <c r="H358" s="208"/>
      <c r="I358" s="208"/>
      <c r="J358" s="208"/>
      <c r="K358" s="208"/>
      <c r="L358" s="208"/>
      <c r="M358" s="208"/>
    </row>
    <row r="359" spans="1:3" ht="14.25" thickBot="1">
      <c r="A359" s="949" t="s">
        <v>3</v>
      </c>
      <c r="B359" s="950"/>
      <c r="C359" s="36">
        <f>+C362+C370+C373+C367+C377+C360</f>
        <v>1639190</v>
      </c>
    </row>
    <row r="360" spans="1:6" s="527" customFormat="1" ht="13.5" hidden="1">
      <c r="A360" s="353" t="s">
        <v>120</v>
      </c>
      <c r="B360" s="404" t="s">
        <v>121</v>
      </c>
      <c r="C360" s="34">
        <f>SUM(C361:C361)</f>
        <v>0</v>
      </c>
      <c r="D360" s="526"/>
      <c r="E360" s="526"/>
      <c r="F360" s="588"/>
    </row>
    <row r="361" spans="1:13" s="107" customFormat="1" ht="13.5" customHeight="1" hidden="1">
      <c r="A361" s="107" t="s">
        <v>717</v>
      </c>
      <c r="B361" s="25" t="s">
        <v>718</v>
      </c>
      <c r="C361" s="809"/>
      <c r="D361" s="531"/>
      <c r="E361" s="530"/>
      <c r="F361" s="659"/>
      <c r="G361" s="539"/>
      <c r="H361" s="25"/>
      <c r="I361" s="13"/>
      <c r="J361" s="13"/>
      <c r="K361" s="13"/>
      <c r="L361" s="13"/>
      <c r="M361" s="13"/>
    </row>
    <row r="362" spans="1:13" s="107" customFormat="1" ht="13.5" customHeight="1">
      <c r="A362" s="12" t="s">
        <v>130</v>
      </c>
      <c r="B362" s="33" t="s">
        <v>131</v>
      </c>
      <c r="C362" s="33">
        <f>SUM(C363:C366)</f>
        <v>278180</v>
      </c>
      <c r="D362" s="531"/>
      <c r="E362" s="530"/>
      <c r="F362" s="659"/>
      <c r="G362" s="539"/>
      <c r="H362" s="25"/>
      <c r="I362" s="13"/>
      <c r="J362" s="13"/>
      <c r="K362" s="13"/>
      <c r="L362" s="13"/>
      <c r="M362" s="13"/>
    </row>
    <row r="363" spans="1:13" s="107" customFormat="1" ht="13.5" customHeight="1" hidden="1">
      <c r="A363" s="13" t="s">
        <v>327</v>
      </c>
      <c r="B363" s="13" t="s">
        <v>328</v>
      </c>
      <c r="C363" s="821">
        <v>138000</v>
      </c>
      <c r="E363" s="530"/>
      <c r="F363" s="585"/>
      <c r="G363" s="539"/>
      <c r="H363" s="25"/>
      <c r="I363" s="13"/>
      <c r="J363" s="13"/>
      <c r="K363" s="13"/>
      <c r="L363" s="13"/>
      <c r="M363" s="13"/>
    </row>
    <row r="364" spans="1:13" s="182" customFormat="1" ht="13.5" customHeight="1" hidden="1">
      <c r="A364" s="13" t="s">
        <v>245</v>
      </c>
      <c r="B364" s="13" t="s">
        <v>244</v>
      </c>
      <c r="C364" s="836">
        <v>8400</v>
      </c>
      <c r="E364" s="411"/>
      <c r="F364" s="176"/>
      <c r="G364" s="176"/>
      <c r="H364" s="176"/>
      <c r="I364" s="451"/>
      <c r="J364" s="176"/>
      <c r="K364" s="176"/>
      <c r="L364" s="176"/>
      <c r="M364" s="176"/>
    </row>
    <row r="365" spans="1:13" s="182" customFormat="1" ht="13.5" customHeight="1" hidden="1">
      <c r="A365" s="13" t="s">
        <v>153</v>
      </c>
      <c r="B365" s="13" t="s">
        <v>1163</v>
      </c>
      <c r="C365" s="836">
        <v>111200</v>
      </c>
      <c r="E365" s="411"/>
      <c r="F365" s="399"/>
      <c r="G365" s="176"/>
      <c r="H365" s="176"/>
      <c r="I365" s="451"/>
      <c r="J365" s="176"/>
      <c r="K365" s="176"/>
      <c r="L365" s="176"/>
      <c r="M365" s="176"/>
    </row>
    <row r="366" spans="1:13" s="107" customFormat="1" ht="13.5" customHeight="1" hidden="1">
      <c r="A366" s="13" t="s">
        <v>148</v>
      </c>
      <c r="B366" s="13" t="s">
        <v>77</v>
      </c>
      <c r="C366" s="821">
        <v>20580</v>
      </c>
      <c r="E366" s="530"/>
      <c r="F366" s="531"/>
      <c r="G366" s="539"/>
      <c r="H366" s="25"/>
      <c r="I366" s="13"/>
      <c r="J366" s="13"/>
      <c r="K366" s="13"/>
      <c r="L366" s="13"/>
      <c r="M366" s="13"/>
    </row>
    <row r="367" spans="1:13" s="107" customFormat="1" ht="13.5" customHeight="1">
      <c r="A367" s="353" t="s">
        <v>122</v>
      </c>
      <c r="B367" s="33" t="s">
        <v>175</v>
      </c>
      <c r="C367" s="33">
        <f>SUM(C368:C369)</f>
        <v>128000</v>
      </c>
      <c r="E367" s="530"/>
      <c r="F367" s="531"/>
      <c r="G367" s="539"/>
      <c r="H367" s="25"/>
      <c r="I367" s="13"/>
      <c r="J367" s="13"/>
      <c r="K367" s="13"/>
      <c r="L367" s="13"/>
      <c r="M367" s="13"/>
    </row>
    <row r="368" spans="1:13" s="107" customFormat="1" ht="13.5" customHeight="1" hidden="1">
      <c r="A368" s="107" t="s">
        <v>150</v>
      </c>
      <c r="B368" s="13" t="s">
        <v>149</v>
      </c>
      <c r="C368" s="821">
        <v>4000</v>
      </c>
      <c r="E368" s="530"/>
      <c r="F368" s="531"/>
      <c r="G368" s="539"/>
      <c r="H368" s="25"/>
      <c r="I368" s="13"/>
      <c r="J368" s="13"/>
      <c r="K368" s="13"/>
      <c r="L368" s="13"/>
      <c r="M368" s="13"/>
    </row>
    <row r="369" spans="1:13" s="107" customFormat="1" ht="13.5" customHeight="1" hidden="1">
      <c r="A369" s="107" t="s">
        <v>174</v>
      </c>
      <c r="B369" s="13" t="s">
        <v>97</v>
      </c>
      <c r="C369" s="821">
        <v>124000</v>
      </c>
      <c r="E369" s="530"/>
      <c r="F369" s="534"/>
      <c r="G369" s="539"/>
      <c r="H369" s="25"/>
      <c r="I369" s="13"/>
      <c r="J369" s="13"/>
      <c r="K369" s="13"/>
      <c r="L369" s="13"/>
      <c r="M369" s="13"/>
    </row>
    <row r="370" spans="1:13" s="107" customFormat="1" ht="13.5" customHeight="1">
      <c r="A370" s="12" t="s">
        <v>123</v>
      </c>
      <c r="B370" s="12" t="s">
        <v>124</v>
      </c>
      <c r="C370" s="33">
        <f>SUM(C371:C372)</f>
        <v>27250</v>
      </c>
      <c r="E370" s="530"/>
      <c r="F370" s="531"/>
      <c r="G370" s="539"/>
      <c r="H370" s="25"/>
      <c r="I370" s="13"/>
      <c r="J370" s="13"/>
      <c r="K370" s="13"/>
      <c r="L370" s="13"/>
      <c r="M370" s="13"/>
    </row>
    <row r="371" spans="1:13" s="107" customFormat="1" ht="13.5" customHeight="1" hidden="1">
      <c r="A371" s="13" t="s">
        <v>58</v>
      </c>
      <c r="B371" s="13" t="s">
        <v>59</v>
      </c>
      <c r="C371" s="821">
        <v>14800</v>
      </c>
      <c r="E371" s="530"/>
      <c r="F371" s="531"/>
      <c r="G371" s="539"/>
      <c r="H371" s="13"/>
      <c r="I371" s="13"/>
      <c r="J371" s="13"/>
      <c r="K371" s="13"/>
      <c r="L371" s="13"/>
      <c r="M371" s="13"/>
    </row>
    <row r="372" spans="1:13" s="107" customFormat="1" ht="13.5" customHeight="1" hidden="1">
      <c r="A372" s="13" t="s">
        <v>184</v>
      </c>
      <c r="B372" s="13" t="s">
        <v>83</v>
      </c>
      <c r="C372" s="821">
        <v>12450</v>
      </c>
      <c r="E372" s="530"/>
      <c r="F372" s="531"/>
      <c r="G372" s="539"/>
      <c r="H372" s="13"/>
      <c r="I372" s="13"/>
      <c r="J372" s="13"/>
      <c r="K372" s="13"/>
      <c r="L372" s="13"/>
      <c r="M372" s="13"/>
    </row>
    <row r="373" spans="1:13" s="5" customFormat="1" ht="13.5">
      <c r="A373" s="353" t="s">
        <v>129</v>
      </c>
      <c r="B373" s="26" t="s">
        <v>119</v>
      </c>
      <c r="C373" s="33">
        <f>SUM(C374:C376)</f>
        <v>18350</v>
      </c>
      <c r="E373" s="531"/>
      <c r="F373" s="531"/>
      <c r="G373" s="575"/>
      <c r="H373" s="208"/>
      <c r="I373" s="208"/>
      <c r="J373" s="208"/>
      <c r="K373" s="208"/>
      <c r="L373" s="208"/>
      <c r="M373" s="208"/>
    </row>
    <row r="374" spans="1:13" s="5" customFormat="1" ht="13.5" hidden="1">
      <c r="A374" s="107" t="s">
        <v>168</v>
      </c>
      <c r="B374" s="25" t="s">
        <v>551</v>
      </c>
      <c r="C374" s="821">
        <v>8350</v>
      </c>
      <c r="E374" s="531"/>
      <c r="F374" s="531"/>
      <c r="G374" s="575"/>
      <c r="H374" s="208"/>
      <c r="I374" s="208"/>
      <c r="J374" s="208"/>
      <c r="K374" s="208"/>
      <c r="L374" s="208"/>
      <c r="M374" s="208"/>
    </row>
    <row r="375" spans="1:256" s="5" customFormat="1" ht="13.5" hidden="1">
      <c r="A375" s="107" t="s">
        <v>1169</v>
      </c>
      <c r="B375" s="57" t="s">
        <v>1194</v>
      </c>
      <c r="C375" s="821">
        <v>6500</v>
      </c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  <c r="DH375" s="57"/>
      <c r="DI375" s="57"/>
      <c r="DJ375" s="57"/>
      <c r="DK375" s="57"/>
      <c r="DL375" s="57"/>
      <c r="DM375" s="57"/>
      <c r="DN375" s="57"/>
      <c r="DO375" s="57"/>
      <c r="DP375" s="57"/>
      <c r="DQ375" s="57"/>
      <c r="DR375" s="57"/>
      <c r="DS375" s="57"/>
      <c r="DT375" s="57"/>
      <c r="DU375" s="57"/>
      <c r="DV375" s="57"/>
      <c r="DW375" s="57"/>
      <c r="DX375" s="57"/>
      <c r="DY375" s="57"/>
      <c r="DZ375" s="57"/>
      <c r="EA375" s="57"/>
      <c r="EB375" s="57"/>
      <c r="EC375" s="57"/>
      <c r="ED375" s="57"/>
      <c r="EE375" s="57"/>
      <c r="EF375" s="57"/>
      <c r="EG375" s="57"/>
      <c r="EH375" s="57"/>
      <c r="EI375" s="57"/>
      <c r="EJ375" s="57"/>
      <c r="EK375" s="57"/>
      <c r="EL375" s="57"/>
      <c r="EM375" s="57"/>
      <c r="EN375" s="57"/>
      <c r="EO375" s="57"/>
      <c r="EP375" s="57"/>
      <c r="EQ375" s="57"/>
      <c r="ER375" s="57"/>
      <c r="ES375" s="57"/>
      <c r="ET375" s="57"/>
      <c r="EU375" s="57"/>
      <c r="EV375" s="57"/>
      <c r="EW375" s="57"/>
      <c r="EX375" s="57"/>
      <c r="EY375" s="57"/>
      <c r="EZ375" s="57"/>
      <c r="FA375" s="57"/>
      <c r="FB375" s="57"/>
      <c r="FC375" s="57"/>
      <c r="FD375" s="57"/>
      <c r="FE375" s="57"/>
      <c r="FF375" s="57"/>
      <c r="FG375" s="57"/>
      <c r="FH375" s="57"/>
      <c r="FI375" s="57"/>
      <c r="FJ375" s="57"/>
      <c r="FK375" s="57"/>
      <c r="FL375" s="57"/>
      <c r="FM375" s="57"/>
      <c r="FN375" s="57"/>
      <c r="FO375" s="57"/>
      <c r="FP375" s="57"/>
      <c r="FQ375" s="57"/>
      <c r="FR375" s="57"/>
      <c r="FS375" s="57"/>
      <c r="FT375" s="57"/>
      <c r="FU375" s="57"/>
      <c r="FV375" s="57"/>
      <c r="FW375" s="57"/>
      <c r="FX375" s="57"/>
      <c r="FY375" s="57"/>
      <c r="FZ375" s="57"/>
      <c r="GA375" s="57"/>
      <c r="GB375" s="57"/>
      <c r="GC375" s="57"/>
      <c r="GD375" s="57"/>
      <c r="GE375" s="57"/>
      <c r="GF375" s="57"/>
      <c r="GG375" s="57"/>
      <c r="GH375" s="57"/>
      <c r="GI375" s="57"/>
      <c r="GJ375" s="57"/>
      <c r="GK375" s="57"/>
      <c r="GL375" s="57"/>
      <c r="GM375" s="57"/>
      <c r="GN375" s="57"/>
      <c r="GO375" s="57"/>
      <c r="GP375" s="57"/>
      <c r="GQ375" s="57"/>
      <c r="GR375" s="57"/>
      <c r="GS375" s="57"/>
      <c r="GT375" s="57"/>
      <c r="GU375" s="57"/>
      <c r="GV375" s="57"/>
      <c r="GW375" s="57"/>
      <c r="GX375" s="57"/>
      <c r="GY375" s="57"/>
      <c r="GZ375" s="57"/>
      <c r="HA375" s="57"/>
      <c r="HB375" s="57"/>
      <c r="HC375" s="57"/>
      <c r="HD375" s="57"/>
      <c r="HE375" s="57"/>
      <c r="HF375" s="57"/>
      <c r="HG375" s="57"/>
      <c r="HH375" s="57"/>
      <c r="HI375" s="57"/>
      <c r="HJ375" s="57"/>
      <c r="HK375" s="57"/>
      <c r="HL375" s="57"/>
      <c r="HM375" s="57"/>
      <c r="HN375" s="57"/>
      <c r="HO375" s="57"/>
      <c r="HP375" s="57"/>
      <c r="HQ375" s="57"/>
      <c r="HR375" s="57"/>
      <c r="HS375" s="57"/>
      <c r="HT375" s="57"/>
      <c r="HU375" s="57"/>
      <c r="HV375" s="57"/>
      <c r="HW375" s="57"/>
      <c r="HX375" s="57"/>
      <c r="HY375" s="57"/>
      <c r="HZ375" s="57"/>
      <c r="IA375" s="57"/>
      <c r="IB375" s="57"/>
      <c r="IC375" s="57"/>
      <c r="ID375" s="57"/>
      <c r="IE375" s="57"/>
      <c r="IF375" s="57"/>
      <c r="IG375" s="57"/>
      <c r="IH375" s="57"/>
      <c r="II375" s="57"/>
      <c r="IJ375" s="57"/>
      <c r="IK375" s="57"/>
      <c r="IL375" s="57"/>
      <c r="IM375" s="57"/>
      <c r="IN375" s="57"/>
      <c r="IO375" s="57"/>
      <c r="IP375" s="57"/>
      <c r="IQ375" s="57"/>
      <c r="IR375" s="57"/>
      <c r="IS375" s="57"/>
      <c r="IT375" s="57"/>
      <c r="IU375" s="57"/>
      <c r="IV375" s="57"/>
    </row>
    <row r="376" spans="1:13" s="5" customFormat="1" ht="13.5" hidden="1">
      <c r="A376" s="107" t="s">
        <v>1169</v>
      </c>
      <c r="B376" s="57" t="s">
        <v>1168</v>
      </c>
      <c r="C376" s="821">
        <v>3500</v>
      </c>
      <c r="E376" s="531"/>
      <c r="F376" s="208"/>
      <c r="G376" s="575"/>
      <c r="H376" s="208"/>
      <c r="I376" s="208"/>
      <c r="J376" s="208"/>
      <c r="K376" s="208"/>
      <c r="L376" s="208"/>
      <c r="M376" s="208"/>
    </row>
    <row r="377" spans="1:13" s="107" customFormat="1" ht="13.5" customHeight="1">
      <c r="A377" s="353" t="s">
        <v>125</v>
      </c>
      <c r="B377" s="33" t="s">
        <v>8</v>
      </c>
      <c r="C377" s="33">
        <f>SUM(C378:C383)</f>
        <v>1187410</v>
      </c>
      <c r="E377" s="530"/>
      <c r="F377" s="531"/>
      <c r="G377" s="539"/>
      <c r="H377" s="13"/>
      <c r="I377" s="13"/>
      <c r="J377" s="13"/>
      <c r="K377" s="13"/>
      <c r="L377" s="13"/>
      <c r="M377" s="13"/>
    </row>
    <row r="378" spans="1:13" s="107" customFormat="1" ht="13.5" customHeight="1" hidden="1">
      <c r="A378" s="107" t="s">
        <v>102</v>
      </c>
      <c r="B378" s="25" t="s">
        <v>8</v>
      </c>
      <c r="C378" s="821">
        <f>528840+475200*1.1</f>
        <v>1051560</v>
      </c>
      <c r="E378" s="531"/>
      <c r="F378" s="534"/>
      <c r="G378" s="539"/>
      <c r="H378" s="13"/>
      <c r="I378" s="13"/>
      <c r="J378" s="13"/>
      <c r="K378" s="13"/>
      <c r="L378" s="13"/>
      <c r="M378" s="13"/>
    </row>
    <row r="379" spans="1:10" s="12" customFormat="1" ht="13.5" customHeight="1" hidden="1">
      <c r="A379" s="107" t="s">
        <v>205</v>
      </c>
      <c r="B379" s="25" t="s">
        <v>54</v>
      </c>
      <c r="C379" s="821">
        <v>5400</v>
      </c>
      <c r="E379" s="531"/>
      <c r="F379" s="531"/>
      <c r="G379" s="539"/>
      <c r="H379" s="13"/>
      <c r="I379" s="13"/>
      <c r="J379" s="13"/>
    </row>
    <row r="380" spans="1:10" s="12" customFormat="1" ht="13.5" customHeight="1" hidden="1">
      <c r="A380" s="105" t="s">
        <v>268</v>
      </c>
      <c r="B380" s="57" t="s">
        <v>267</v>
      </c>
      <c r="C380" s="822">
        <v>51000</v>
      </c>
      <c r="E380" s="531"/>
      <c r="F380" s="531"/>
      <c r="G380" s="539"/>
      <c r="H380" s="13"/>
      <c r="I380" s="13"/>
      <c r="J380" s="13"/>
    </row>
    <row r="381" spans="1:13" s="107" customFormat="1" ht="13.5" customHeight="1" hidden="1">
      <c r="A381" s="107" t="s">
        <v>266</v>
      </c>
      <c r="B381" s="13" t="s">
        <v>265</v>
      </c>
      <c r="C381" s="821">
        <v>54500</v>
      </c>
      <c r="E381" s="531"/>
      <c r="F381" s="13"/>
      <c r="G381" s="539"/>
      <c r="H381" s="13"/>
      <c r="I381" s="13"/>
      <c r="J381" s="13"/>
      <c r="K381" s="13"/>
      <c r="L381" s="13"/>
      <c r="M381" s="13"/>
    </row>
    <row r="382" spans="1:13" ht="13.5" hidden="1">
      <c r="A382" s="13" t="s">
        <v>242</v>
      </c>
      <c r="B382" s="25" t="s">
        <v>794</v>
      </c>
      <c r="C382" s="821">
        <v>0</v>
      </c>
      <c r="E382" s="208"/>
      <c r="F382" s="172"/>
      <c r="G382" s="255"/>
      <c r="H382" s="255"/>
      <c r="I382" s="255"/>
      <c r="J382" s="255"/>
      <c r="K382" s="255"/>
      <c r="L382" s="255"/>
      <c r="M382" s="255"/>
    </row>
    <row r="383" spans="1:13" s="107" customFormat="1" ht="13.5" customHeight="1" hidden="1">
      <c r="A383" s="107" t="s">
        <v>100</v>
      </c>
      <c r="B383" s="25" t="s">
        <v>7</v>
      </c>
      <c r="C383" s="821">
        <v>24950</v>
      </c>
      <c r="E383" s="530"/>
      <c r="F383" s="535"/>
      <c r="G383" s="539"/>
      <c r="H383" s="13"/>
      <c r="I383" s="13"/>
      <c r="J383" s="25"/>
      <c r="K383" s="13"/>
      <c r="L383" s="13"/>
      <c r="M383" s="13"/>
    </row>
    <row r="384" spans="2:13" s="107" customFormat="1" ht="13.5" customHeight="1" thickBot="1">
      <c r="B384" s="25"/>
      <c r="C384" s="24"/>
      <c r="D384" s="661"/>
      <c r="E384" s="531"/>
      <c r="F384" s="659"/>
      <c r="G384" s="539"/>
      <c r="H384" s="13"/>
      <c r="I384" s="13"/>
      <c r="J384" s="13"/>
      <c r="K384" s="13"/>
      <c r="L384" s="13"/>
      <c r="M384" s="13"/>
    </row>
    <row r="385" spans="1:3" ht="14.25" thickBot="1">
      <c r="A385" s="951" t="s">
        <v>4</v>
      </c>
      <c r="B385" s="952"/>
      <c r="C385" s="662">
        <f>C386+C391</f>
        <v>107280</v>
      </c>
    </row>
    <row r="386" spans="1:6" s="527" customFormat="1" ht="13.5">
      <c r="A386" s="353" t="s">
        <v>126</v>
      </c>
      <c r="B386" s="404" t="s">
        <v>127</v>
      </c>
      <c r="C386" s="34">
        <f>SUM(C387:C390)</f>
        <v>102480</v>
      </c>
      <c r="D386" s="526"/>
      <c r="E386" s="526"/>
      <c r="F386" s="588"/>
    </row>
    <row r="387" spans="1:13" s="5" customFormat="1" ht="13.5" hidden="1">
      <c r="A387" s="107" t="s">
        <v>101</v>
      </c>
      <c r="B387" s="107" t="s">
        <v>152</v>
      </c>
      <c r="C387" s="821">
        <v>26500</v>
      </c>
      <c r="D387" s="530"/>
      <c r="E387" s="530"/>
      <c r="F387" s="659"/>
      <c r="G387" s="575"/>
      <c r="H387" s="208"/>
      <c r="I387" s="208"/>
      <c r="J387" s="208"/>
      <c r="K387" s="208"/>
      <c r="L387" s="208"/>
      <c r="M387" s="208"/>
    </row>
    <row r="388" spans="1:13" s="5" customFormat="1" ht="13.5" hidden="1">
      <c r="A388" s="107" t="s">
        <v>240</v>
      </c>
      <c r="B388" s="57" t="s">
        <v>1193</v>
      </c>
      <c r="C388" s="821">
        <v>13500</v>
      </c>
      <c r="D388" s="530"/>
      <c r="E388" s="530"/>
      <c r="F388" s="659"/>
      <c r="G388" s="575"/>
      <c r="H388" s="208"/>
      <c r="I388" s="208"/>
      <c r="J388" s="208"/>
      <c r="K388" s="208"/>
      <c r="L388" s="208"/>
      <c r="M388" s="208"/>
    </row>
    <row r="389" spans="1:13" s="5" customFormat="1" ht="13.5" hidden="1">
      <c r="A389" s="107" t="s">
        <v>62</v>
      </c>
      <c r="B389" s="13" t="s">
        <v>63</v>
      </c>
      <c r="C389" s="821">
        <v>23480</v>
      </c>
      <c r="D389" s="530"/>
      <c r="E389" s="530"/>
      <c r="F389" s="659"/>
      <c r="G389" s="575"/>
      <c r="H389" s="208"/>
      <c r="I389" s="208"/>
      <c r="J389" s="208"/>
      <c r="K389" s="208"/>
      <c r="L389" s="208"/>
      <c r="M389" s="208"/>
    </row>
    <row r="390" spans="1:13" s="5" customFormat="1" ht="13.5" hidden="1">
      <c r="A390" s="107" t="s">
        <v>998</v>
      </c>
      <c r="B390" s="13" t="s">
        <v>999</v>
      </c>
      <c r="C390" s="821">
        <v>39000</v>
      </c>
      <c r="D390" s="530"/>
      <c r="E390" s="530"/>
      <c r="F390" s="659"/>
      <c r="G390" s="575"/>
      <c r="H390" s="208"/>
      <c r="I390" s="208"/>
      <c r="J390" s="208"/>
      <c r="K390" s="208"/>
      <c r="L390" s="208"/>
      <c r="M390" s="208"/>
    </row>
    <row r="391" spans="1:13" s="5" customFormat="1" ht="13.5">
      <c r="A391" s="353" t="s">
        <v>188</v>
      </c>
      <c r="B391" s="26" t="s">
        <v>145</v>
      </c>
      <c r="C391" s="33">
        <f>SUM(C392)</f>
        <v>4800</v>
      </c>
      <c r="D391" s="530"/>
      <c r="E391" s="530"/>
      <c r="F391" s="659"/>
      <c r="G391" s="575"/>
      <c r="H391" s="208"/>
      <c r="I391" s="208"/>
      <c r="J391" s="208"/>
      <c r="K391" s="208"/>
      <c r="L391" s="208"/>
      <c r="M391" s="208"/>
    </row>
    <row r="392" spans="1:13" s="5" customFormat="1" ht="13.5" hidden="1">
      <c r="A392" s="107" t="s">
        <v>189</v>
      </c>
      <c r="B392" s="24" t="s">
        <v>56</v>
      </c>
      <c r="C392" s="821">
        <v>4800</v>
      </c>
      <c r="D392" s="530"/>
      <c r="E392" s="530"/>
      <c r="F392" s="659"/>
      <c r="G392" s="575"/>
      <c r="H392" s="208"/>
      <c r="I392" s="208"/>
      <c r="J392" s="208"/>
      <c r="K392" s="208"/>
      <c r="L392" s="208"/>
      <c r="M392" s="208"/>
    </row>
    <row r="393" spans="1:13" s="5" customFormat="1" ht="13.5">
      <c r="A393" s="107"/>
      <c r="B393" s="24"/>
      <c r="C393" s="25"/>
      <c r="D393" s="530"/>
      <c r="E393" s="530"/>
      <c r="F393" s="659"/>
      <c r="G393" s="575"/>
      <c r="H393" s="208"/>
      <c r="I393" s="208"/>
      <c r="J393" s="208"/>
      <c r="K393" s="208"/>
      <c r="L393" s="208"/>
      <c r="M393" s="208"/>
    </row>
    <row r="394" spans="1:2" ht="13.5" thickBot="1">
      <c r="A394" s="110"/>
      <c r="B394" s="668"/>
    </row>
    <row r="395" spans="1:6" s="1" customFormat="1" ht="12.75">
      <c r="A395" s="64" t="s">
        <v>1392</v>
      </c>
      <c r="B395" s="221"/>
      <c r="C395" s="65"/>
      <c r="D395" s="67" t="s">
        <v>6</v>
      </c>
      <c r="E395" s="516" t="s">
        <v>1000</v>
      </c>
      <c r="F395" s="655"/>
    </row>
    <row r="396" spans="1:6" s="1" customFormat="1" ht="13.5" thickBot="1">
      <c r="A396" s="49"/>
      <c r="B396" s="205"/>
      <c r="C396" s="119"/>
      <c r="D396" s="121"/>
      <c r="E396" s="517"/>
      <c r="F396" s="655"/>
    </row>
    <row r="397" spans="1:6" s="208" customFormat="1" ht="12.75">
      <c r="A397" s="45" t="s">
        <v>1001</v>
      </c>
      <c r="C397" s="172"/>
      <c r="D397" s="172"/>
      <c r="E397" s="450"/>
      <c r="F397" s="659"/>
    </row>
    <row r="398" spans="1:6" s="208" customFormat="1" ht="12.75">
      <c r="A398" s="45" t="s">
        <v>1002</v>
      </c>
      <c r="C398" s="172"/>
      <c r="D398" s="172"/>
      <c r="E398" s="450"/>
      <c r="F398" s="659"/>
    </row>
    <row r="399" spans="1:6" s="208" customFormat="1" ht="12.75">
      <c r="A399" s="45" t="s">
        <v>1003</v>
      </c>
      <c r="C399" s="172"/>
      <c r="D399" s="172"/>
      <c r="E399" s="450"/>
      <c r="F399" s="659"/>
    </row>
    <row r="400" spans="1:6" s="208" customFormat="1" ht="12.75">
      <c r="A400" s="45" t="s">
        <v>1004</v>
      </c>
      <c r="C400" s="172"/>
      <c r="D400" s="172"/>
      <c r="E400" s="450"/>
      <c r="F400" s="659"/>
    </row>
    <row r="401" spans="1:7" s="208" customFormat="1" ht="13.5">
      <c r="A401" s="45" t="s">
        <v>1005</v>
      </c>
      <c r="C401" s="172"/>
      <c r="D401" s="172"/>
      <c r="E401" s="450"/>
      <c r="G401" s="13"/>
    </row>
    <row r="402" spans="1:7" s="208" customFormat="1" ht="13.5">
      <c r="A402" s="45" t="s">
        <v>1006</v>
      </c>
      <c r="C402" s="172"/>
      <c r="D402" s="172"/>
      <c r="E402" s="450"/>
      <c r="G402" s="13"/>
    </row>
    <row r="403" spans="1:6" s="1" customFormat="1" ht="12.75">
      <c r="A403" s="45" t="s">
        <v>1007</v>
      </c>
      <c r="B403" s="208"/>
      <c r="C403" s="172"/>
      <c r="D403" s="172"/>
      <c r="E403" s="450"/>
      <c r="F403" s="655"/>
    </row>
    <row r="404" spans="1:6" s="1" customFormat="1" ht="12.75">
      <c r="A404" s="45" t="s">
        <v>1008</v>
      </c>
      <c r="B404" s="208"/>
      <c r="C404" s="172"/>
      <c r="D404" s="172"/>
      <c r="E404" s="450"/>
      <c r="F404" s="655"/>
    </row>
    <row r="405" spans="1:6" s="1" customFormat="1" ht="12.75">
      <c r="A405" s="45" t="s">
        <v>1009</v>
      </c>
      <c r="B405" s="208"/>
      <c r="C405" s="172"/>
      <c r="D405" s="172"/>
      <c r="E405" s="450"/>
      <c r="F405" s="849"/>
    </row>
    <row r="406" spans="1:6" s="1" customFormat="1" ht="12.75">
      <c r="A406" s="45" t="s">
        <v>1010</v>
      </c>
      <c r="B406" s="208"/>
      <c r="C406" s="172"/>
      <c r="D406" s="172"/>
      <c r="E406" s="450"/>
      <c r="F406" s="655"/>
    </row>
    <row r="407" spans="1:6" s="208" customFormat="1" ht="12.75">
      <c r="A407" s="45" t="s">
        <v>1013</v>
      </c>
      <c r="C407" s="577"/>
      <c r="D407" s="669"/>
      <c r="E407" s="450"/>
      <c r="F407" s="659"/>
    </row>
    <row r="408" spans="1:6" s="208" customFormat="1" ht="12.75">
      <c r="A408" s="45" t="s">
        <v>1014</v>
      </c>
      <c r="C408" s="172"/>
      <c r="D408" s="172"/>
      <c r="E408" s="450"/>
      <c r="F408" s="659"/>
    </row>
    <row r="409" spans="1:6" s="208" customFormat="1" ht="12.75">
      <c r="A409" s="45" t="s">
        <v>1015</v>
      </c>
      <c r="C409" s="172"/>
      <c r="D409" s="577"/>
      <c r="E409" s="542"/>
      <c r="F409" s="659"/>
    </row>
    <row r="410" spans="1:6" s="208" customFormat="1" ht="13.5" thickBot="1">
      <c r="A410" s="49" t="s">
        <v>1016</v>
      </c>
      <c r="B410" s="205"/>
      <c r="C410" s="119"/>
      <c r="D410" s="119"/>
      <c r="E410" s="452"/>
      <c r="F410" s="659"/>
    </row>
    <row r="411" spans="1:7" s="1" customFormat="1" ht="13.5">
      <c r="A411" s="169" t="s">
        <v>1365</v>
      </c>
      <c r="B411" s="245"/>
      <c r="C411" s="601"/>
      <c r="D411" s="601"/>
      <c r="E411" s="603"/>
      <c r="G411" s="13"/>
    </row>
    <row r="412" spans="1:6" s="1" customFormat="1" ht="13.5">
      <c r="A412" s="52" t="s">
        <v>1017</v>
      </c>
      <c r="B412" s="13"/>
      <c r="C412" s="25"/>
      <c r="D412" s="25"/>
      <c r="E412" s="453"/>
      <c r="F412" s="655"/>
    </row>
    <row r="413" spans="1:7" s="1" customFormat="1" ht="13.5">
      <c r="A413" s="52" t="s">
        <v>1421</v>
      </c>
      <c r="B413" s="12"/>
      <c r="C413" s="33"/>
      <c r="D413" s="33"/>
      <c r="E413" s="212"/>
      <c r="F413" s="655"/>
      <c r="G413" s="15"/>
    </row>
    <row r="414" spans="1:7" s="1" customFormat="1" ht="14.25" thickBot="1">
      <c r="A414" s="111" t="s">
        <v>16</v>
      </c>
      <c r="B414" s="651"/>
      <c r="C414" s="62"/>
      <c r="D414" s="62"/>
      <c r="E414" s="230"/>
      <c r="F414" s="655"/>
      <c r="G414" s="15"/>
    </row>
    <row r="415" spans="1:6" s="1" customFormat="1" ht="14.25" thickBot="1">
      <c r="A415" s="54" t="s">
        <v>17</v>
      </c>
      <c r="B415" s="667"/>
      <c r="C415" s="55"/>
      <c r="D415" s="191"/>
      <c r="E415" s="161">
        <f>+C417+C436+C456+C461</f>
        <v>1882000</v>
      </c>
      <c r="F415" s="655"/>
    </row>
    <row r="416" spans="1:6" s="1" customFormat="1" ht="14.25" thickBot="1">
      <c r="A416" s="12"/>
      <c r="B416" s="13"/>
      <c r="C416" s="33"/>
      <c r="D416" s="15"/>
      <c r="F416" s="547"/>
    </row>
    <row r="417" spans="1:6" ht="14.25" thickBot="1">
      <c r="A417" s="947" t="s">
        <v>2</v>
      </c>
      <c r="B417" s="948"/>
      <c r="C417" s="38">
        <f>C418+C420+C423+C425+C427+C430+C432</f>
        <v>114220</v>
      </c>
      <c r="D417" s="657"/>
      <c r="F417" s="282"/>
    </row>
    <row r="418" spans="1:6" s="527" customFormat="1" ht="13.5">
      <c r="A418" s="12" t="s">
        <v>113</v>
      </c>
      <c r="B418" s="404" t="s">
        <v>114</v>
      </c>
      <c r="C418" s="34">
        <f>SUM(C419)</f>
        <v>24780</v>
      </c>
      <c r="D418" s="526"/>
      <c r="E418" s="526"/>
      <c r="F418" s="588"/>
    </row>
    <row r="419" spans="1:7" s="13" customFormat="1" ht="13.5" customHeight="1" hidden="1">
      <c r="A419" s="13" t="s">
        <v>50</v>
      </c>
      <c r="B419" s="13" t="s">
        <v>49</v>
      </c>
      <c r="C419" s="821">
        <f>32280-7500</f>
        <v>24780</v>
      </c>
      <c r="D419" s="585"/>
      <c r="E419" s="531"/>
      <c r="F419" s="659"/>
      <c r="G419" s="575"/>
    </row>
    <row r="420" spans="1:13" s="107" customFormat="1" ht="13.5" customHeight="1">
      <c r="A420" s="12" t="s">
        <v>219</v>
      </c>
      <c r="B420" s="26" t="s">
        <v>218</v>
      </c>
      <c r="C420" s="26">
        <f>SUM(C421:C422)</f>
        <v>17000</v>
      </c>
      <c r="D420" s="115"/>
      <c r="E420" s="26"/>
      <c r="F420" s="142"/>
      <c r="G420" s="25"/>
      <c r="H420" s="13"/>
      <c r="I420" s="402"/>
      <c r="J420" s="13"/>
      <c r="K420" s="13"/>
      <c r="L420" s="13"/>
      <c r="M420" s="13"/>
    </row>
    <row r="421" spans="1:13" s="184" customFormat="1" ht="12.75" customHeight="1" hidden="1">
      <c r="A421" s="13" t="s">
        <v>217</v>
      </c>
      <c r="B421" s="107" t="s">
        <v>252</v>
      </c>
      <c r="C421" s="821">
        <v>10200</v>
      </c>
      <c r="D421" s="23"/>
      <c r="E421" s="26"/>
      <c r="F421" s="106"/>
      <c r="G421" s="106"/>
      <c r="H421" s="106"/>
      <c r="I421" s="402"/>
      <c r="J421" s="106"/>
      <c r="K421" s="106"/>
      <c r="L421" s="106"/>
      <c r="M421" s="106"/>
    </row>
    <row r="422" spans="1:13" s="184" customFormat="1" ht="12.75" customHeight="1" hidden="1">
      <c r="A422" s="13" t="s">
        <v>251</v>
      </c>
      <c r="B422" s="107" t="s">
        <v>250</v>
      </c>
      <c r="C422" s="821">
        <v>6800</v>
      </c>
      <c r="D422" s="23"/>
      <c r="E422" s="26"/>
      <c r="F422" s="106"/>
      <c r="G422" s="106"/>
      <c r="H422" s="106"/>
      <c r="I422" s="402"/>
      <c r="J422" s="106"/>
      <c r="K422" s="106"/>
      <c r="L422" s="106"/>
      <c r="M422" s="106"/>
    </row>
    <row r="423" spans="1:7" s="13" customFormat="1" ht="13.5" customHeight="1">
      <c r="A423" s="12" t="s">
        <v>115</v>
      </c>
      <c r="B423" s="12" t="s">
        <v>116</v>
      </c>
      <c r="C423" s="33">
        <f>SUM(C424)</f>
        <v>17300</v>
      </c>
      <c r="D423" s="585"/>
      <c r="F423" s="616"/>
      <c r="G423" s="575"/>
    </row>
    <row r="424" spans="1:13" s="5" customFormat="1" ht="13.5" hidden="1">
      <c r="A424" s="13" t="s">
        <v>96</v>
      </c>
      <c r="B424" s="107" t="s">
        <v>71</v>
      </c>
      <c r="C424" s="821">
        <f>19300-2000</f>
        <v>17300</v>
      </c>
      <c r="D424" s="666"/>
      <c r="E424" s="531"/>
      <c r="F424" s="659"/>
      <c r="G424" s="208"/>
      <c r="H424" s="208"/>
      <c r="I424" s="208"/>
      <c r="J424" s="208"/>
      <c r="K424" s="208"/>
      <c r="L424" s="208"/>
      <c r="M424" s="208"/>
    </row>
    <row r="425" spans="1:13" s="5" customFormat="1" ht="13.5">
      <c r="A425" s="12" t="s">
        <v>117</v>
      </c>
      <c r="B425" s="353" t="s">
        <v>118</v>
      </c>
      <c r="C425" s="33">
        <f>SUM(C426)</f>
        <v>18780</v>
      </c>
      <c r="D425" s="663"/>
      <c r="E425" s="670"/>
      <c r="F425" s="659"/>
      <c r="G425" s="208"/>
      <c r="H425" s="208"/>
      <c r="I425" s="208"/>
      <c r="J425" s="208"/>
      <c r="K425" s="208"/>
      <c r="L425" s="208"/>
      <c r="M425" s="208"/>
    </row>
    <row r="426" spans="1:13" s="5" customFormat="1" ht="13.5" hidden="1">
      <c r="A426" s="13" t="s">
        <v>51</v>
      </c>
      <c r="B426" s="24" t="s">
        <v>52</v>
      </c>
      <c r="C426" s="821">
        <v>18780</v>
      </c>
      <c r="D426" s="663"/>
      <c r="E426" s="670"/>
      <c r="F426" s="659"/>
      <c r="G426" s="575"/>
      <c r="H426" s="208"/>
      <c r="I426" s="208"/>
      <c r="J426" s="208"/>
      <c r="K426" s="208"/>
      <c r="L426" s="208"/>
      <c r="M426" s="208"/>
    </row>
    <row r="427" spans="1:13" s="5" customFormat="1" ht="13.5">
      <c r="A427" s="353" t="s">
        <v>129</v>
      </c>
      <c r="B427" s="26" t="s">
        <v>119</v>
      </c>
      <c r="C427" s="33">
        <f>SUM(C428:C429)</f>
        <v>9410</v>
      </c>
      <c r="D427" s="663"/>
      <c r="E427" s="670"/>
      <c r="F427" s="659"/>
      <c r="G427" s="575"/>
      <c r="H427" s="208"/>
      <c r="I427" s="208"/>
      <c r="J427" s="208"/>
      <c r="K427" s="208"/>
      <c r="L427" s="208"/>
      <c r="M427" s="208"/>
    </row>
    <row r="428" spans="1:13" s="5" customFormat="1" ht="13.5" hidden="1">
      <c r="A428" s="107" t="s">
        <v>168</v>
      </c>
      <c r="B428" s="25" t="s">
        <v>551</v>
      </c>
      <c r="C428" s="821">
        <v>2860</v>
      </c>
      <c r="D428" s="663"/>
      <c r="E428" s="670"/>
      <c r="F428" s="659"/>
      <c r="G428" s="575"/>
      <c r="H428" s="208"/>
      <c r="I428" s="208"/>
      <c r="J428" s="208"/>
      <c r="K428" s="208"/>
      <c r="L428" s="208"/>
      <c r="M428" s="208"/>
    </row>
    <row r="429" spans="1:13" s="5" customFormat="1" ht="13.5" hidden="1">
      <c r="A429" s="107" t="s">
        <v>210</v>
      </c>
      <c r="B429" s="57" t="s">
        <v>1167</v>
      </c>
      <c r="C429" s="821">
        <v>6550</v>
      </c>
      <c r="E429" s="531"/>
      <c r="F429" s="659"/>
      <c r="G429" s="575"/>
      <c r="H429" s="208"/>
      <c r="I429" s="208"/>
      <c r="J429" s="208"/>
      <c r="K429" s="208"/>
      <c r="L429" s="208"/>
      <c r="M429" s="208"/>
    </row>
    <row r="430" spans="1:13" s="5" customFormat="1" ht="13.5">
      <c r="A430" s="353" t="s">
        <v>134</v>
      </c>
      <c r="B430" s="33" t="s">
        <v>133</v>
      </c>
      <c r="C430" s="33">
        <f>SUM(C431)</f>
        <v>5850</v>
      </c>
      <c r="D430" s="585"/>
      <c r="E430" s="531"/>
      <c r="F430" s="659"/>
      <c r="G430" s="575"/>
      <c r="H430" s="208"/>
      <c r="I430" s="208"/>
      <c r="J430" s="208"/>
      <c r="K430" s="208"/>
      <c r="L430" s="208"/>
      <c r="M430" s="208"/>
    </row>
    <row r="431" spans="1:13" s="5" customFormat="1" ht="13.5" hidden="1">
      <c r="A431" s="107" t="s">
        <v>103</v>
      </c>
      <c r="B431" s="25" t="s">
        <v>78</v>
      </c>
      <c r="C431" s="821">
        <v>5850</v>
      </c>
      <c r="D431" s="530"/>
      <c r="E431" s="530"/>
      <c r="F431" s="659"/>
      <c r="G431" s="575"/>
      <c r="H431" s="208"/>
      <c r="I431" s="208"/>
      <c r="J431" s="208"/>
      <c r="K431" s="208"/>
      <c r="L431" s="208"/>
      <c r="M431" s="208"/>
    </row>
    <row r="432" spans="1:13" s="5" customFormat="1" ht="13.5">
      <c r="A432" s="353" t="s">
        <v>169</v>
      </c>
      <c r="B432" s="26" t="s">
        <v>135</v>
      </c>
      <c r="C432" s="26">
        <f>SUM(C433:C434)</f>
        <v>21100</v>
      </c>
      <c r="D432" s="530"/>
      <c r="E432" s="530"/>
      <c r="F432" s="659"/>
      <c r="G432" s="575"/>
      <c r="H432" s="208"/>
      <c r="I432" s="208"/>
      <c r="J432" s="208"/>
      <c r="K432" s="208"/>
      <c r="L432" s="208"/>
      <c r="M432" s="208"/>
    </row>
    <row r="433" spans="1:13" s="5" customFormat="1" ht="13.5" hidden="1">
      <c r="A433" s="107" t="s">
        <v>171</v>
      </c>
      <c r="B433" s="25" t="s">
        <v>75</v>
      </c>
      <c r="C433" s="821">
        <f>15000-3000</f>
        <v>12000</v>
      </c>
      <c r="D433" s="531"/>
      <c r="E433" s="531"/>
      <c r="F433" s="659"/>
      <c r="G433" s="575"/>
      <c r="H433" s="208"/>
      <c r="I433" s="208"/>
      <c r="J433" s="208"/>
      <c r="K433" s="208"/>
      <c r="L433" s="208"/>
      <c r="M433" s="208"/>
    </row>
    <row r="434" spans="1:13" s="5" customFormat="1" ht="13.5" hidden="1">
      <c r="A434" s="107" t="s">
        <v>173</v>
      </c>
      <c r="B434" s="24" t="s">
        <v>135</v>
      </c>
      <c r="C434" s="821">
        <v>9100</v>
      </c>
      <c r="D434" s="531"/>
      <c r="E434" s="531"/>
      <c r="F434" s="659"/>
      <c r="G434" s="575"/>
      <c r="H434" s="208"/>
      <c r="I434" s="208"/>
      <c r="J434" s="208"/>
      <c r="K434" s="208"/>
      <c r="L434" s="208"/>
      <c r="M434" s="208"/>
    </row>
    <row r="435" spans="1:13" s="5" customFormat="1" ht="14.25" thickBot="1">
      <c r="A435" s="107"/>
      <c r="B435" s="25"/>
      <c r="C435" s="24"/>
      <c r="D435" s="530"/>
      <c r="E435" s="530"/>
      <c r="F435" s="659"/>
      <c r="G435" s="575"/>
      <c r="H435" s="208"/>
      <c r="I435" s="208"/>
      <c r="J435" s="208"/>
      <c r="K435" s="208"/>
      <c r="L435" s="208"/>
      <c r="M435" s="208"/>
    </row>
    <row r="436" spans="1:3" ht="14.25" thickBot="1">
      <c r="A436" s="949" t="s">
        <v>3</v>
      </c>
      <c r="B436" s="950"/>
      <c r="C436" s="36">
        <f>+C443+C440+C446+C449+C437</f>
        <v>1697250</v>
      </c>
    </row>
    <row r="437" spans="1:6" s="527" customFormat="1" ht="13.5">
      <c r="A437" s="353" t="s">
        <v>120</v>
      </c>
      <c r="B437" s="404" t="s">
        <v>121</v>
      </c>
      <c r="C437" s="34">
        <f>SUM(C438:C439)</f>
        <v>23500</v>
      </c>
      <c r="D437" s="526"/>
      <c r="E437" s="526"/>
      <c r="F437" s="588"/>
    </row>
    <row r="438" spans="1:13" s="107" customFormat="1" ht="13.5" customHeight="1" hidden="1">
      <c r="A438" s="107" t="s">
        <v>57</v>
      </c>
      <c r="B438" s="25" t="s">
        <v>18</v>
      </c>
      <c r="C438" s="821">
        <v>23500</v>
      </c>
      <c r="F438" s="534"/>
      <c r="G438" s="539"/>
      <c r="H438" s="25"/>
      <c r="I438" s="13"/>
      <c r="J438" s="13"/>
      <c r="K438" s="13"/>
      <c r="L438" s="13"/>
      <c r="M438" s="13"/>
    </row>
    <row r="439" spans="1:13" s="107" customFormat="1" ht="13.5" customHeight="1" hidden="1">
      <c r="A439" s="107" t="s">
        <v>717</v>
      </c>
      <c r="B439" s="25" t="s">
        <v>718</v>
      </c>
      <c r="C439" s="821"/>
      <c r="E439" s="530"/>
      <c r="F439" s="535"/>
      <c r="G439" s="539"/>
      <c r="H439" s="25"/>
      <c r="I439" s="13"/>
      <c r="J439" s="13"/>
      <c r="K439" s="13"/>
      <c r="L439" s="13"/>
      <c r="M439" s="13"/>
    </row>
    <row r="440" spans="1:13" s="107" customFormat="1" ht="13.5" customHeight="1">
      <c r="A440" s="12" t="s">
        <v>130</v>
      </c>
      <c r="B440" s="33" t="s">
        <v>131</v>
      </c>
      <c r="C440" s="33">
        <f>SUM(C441:C442)</f>
        <v>23150</v>
      </c>
      <c r="E440" s="530"/>
      <c r="F440" s="531"/>
      <c r="G440" s="539"/>
      <c r="H440" s="25"/>
      <c r="I440" s="13"/>
      <c r="J440" s="13"/>
      <c r="K440" s="13"/>
      <c r="L440" s="13"/>
      <c r="M440" s="13"/>
    </row>
    <row r="441" spans="1:13" s="107" customFormat="1" ht="13.5" customHeight="1" hidden="1">
      <c r="A441" s="13" t="s">
        <v>327</v>
      </c>
      <c r="B441" s="13" t="s">
        <v>328</v>
      </c>
      <c r="C441" s="821">
        <v>17600</v>
      </c>
      <c r="E441" s="530"/>
      <c r="F441" s="585"/>
      <c r="G441" s="539"/>
      <c r="H441" s="25"/>
      <c r="I441" s="13"/>
      <c r="J441" s="13"/>
      <c r="K441" s="13"/>
      <c r="L441" s="13"/>
      <c r="M441" s="13"/>
    </row>
    <row r="442" spans="1:13" s="107" customFormat="1" ht="13.5" customHeight="1" hidden="1">
      <c r="A442" s="13" t="s">
        <v>148</v>
      </c>
      <c r="B442" s="13" t="s">
        <v>77</v>
      </c>
      <c r="C442" s="821">
        <v>5550</v>
      </c>
      <c r="E442" s="530"/>
      <c r="F442" s="531"/>
      <c r="G442" s="539"/>
      <c r="H442" s="25"/>
      <c r="I442" s="13"/>
      <c r="J442" s="13"/>
      <c r="K442" s="13"/>
      <c r="L442" s="13"/>
      <c r="M442" s="13"/>
    </row>
    <row r="443" spans="1:13" s="107" customFormat="1" ht="13.5" customHeight="1">
      <c r="A443" s="353" t="s">
        <v>122</v>
      </c>
      <c r="B443" s="33" t="s">
        <v>175</v>
      </c>
      <c r="C443" s="33">
        <f>SUM(C444:C445)</f>
        <v>105100</v>
      </c>
      <c r="E443" s="535"/>
      <c r="F443" s="534"/>
      <c r="G443" s="539"/>
      <c r="H443" s="25"/>
      <c r="I443" s="13"/>
      <c r="J443" s="13"/>
      <c r="K443" s="13"/>
      <c r="L443" s="13"/>
      <c r="M443" s="13"/>
    </row>
    <row r="444" spans="1:13" s="107" customFormat="1" ht="13.5" customHeight="1" hidden="1">
      <c r="A444" s="107" t="s">
        <v>150</v>
      </c>
      <c r="B444" s="13" t="s">
        <v>149</v>
      </c>
      <c r="C444" s="821">
        <v>6100</v>
      </c>
      <c r="E444" s="530"/>
      <c r="F444" s="531"/>
      <c r="G444" s="539"/>
      <c r="H444" s="25"/>
      <c r="I444" s="13"/>
      <c r="J444" s="13"/>
      <c r="K444" s="13"/>
      <c r="L444" s="13"/>
      <c r="M444" s="13"/>
    </row>
    <row r="445" spans="1:13" s="107" customFormat="1" ht="13.5" customHeight="1" hidden="1">
      <c r="A445" s="107" t="s">
        <v>174</v>
      </c>
      <c r="B445" s="13" t="s">
        <v>97</v>
      </c>
      <c r="C445" s="821">
        <v>99000</v>
      </c>
      <c r="E445" s="530"/>
      <c r="F445" s="531"/>
      <c r="G445" s="539"/>
      <c r="H445" s="25"/>
      <c r="I445" s="13"/>
      <c r="J445" s="13"/>
      <c r="K445" s="13"/>
      <c r="L445" s="13"/>
      <c r="M445" s="13"/>
    </row>
    <row r="446" spans="1:13" s="107" customFormat="1" ht="13.5" customHeight="1">
      <c r="A446" s="12" t="s">
        <v>123</v>
      </c>
      <c r="B446" s="12" t="s">
        <v>124</v>
      </c>
      <c r="C446" s="33">
        <f>SUM(C447:C448)</f>
        <v>33400</v>
      </c>
      <c r="E446" s="530"/>
      <c r="F446" s="531"/>
      <c r="G446" s="539"/>
      <c r="H446" s="25"/>
      <c r="I446" s="13"/>
      <c r="J446" s="13"/>
      <c r="K446" s="13"/>
      <c r="L446" s="13"/>
      <c r="M446" s="13"/>
    </row>
    <row r="447" spans="1:13" s="107" customFormat="1" ht="13.5" customHeight="1" hidden="1">
      <c r="A447" s="13" t="s">
        <v>58</v>
      </c>
      <c r="B447" s="13" t="s">
        <v>59</v>
      </c>
      <c r="C447" s="821">
        <v>24000</v>
      </c>
      <c r="E447" s="530"/>
      <c r="F447" s="531"/>
      <c r="G447" s="539"/>
      <c r="H447" s="13"/>
      <c r="I447" s="13"/>
      <c r="J447" s="13"/>
      <c r="K447" s="13"/>
      <c r="L447" s="13"/>
      <c r="M447" s="13"/>
    </row>
    <row r="448" spans="1:13" s="107" customFormat="1" ht="13.5" customHeight="1" hidden="1">
      <c r="A448" s="13" t="s">
        <v>184</v>
      </c>
      <c r="B448" s="13" t="s">
        <v>83</v>
      </c>
      <c r="C448" s="821">
        <v>9400</v>
      </c>
      <c r="E448" s="530"/>
      <c r="F448" s="531"/>
      <c r="G448" s="539"/>
      <c r="H448" s="13"/>
      <c r="I448" s="13"/>
      <c r="J448" s="13"/>
      <c r="K448" s="13"/>
      <c r="L448" s="13"/>
      <c r="M448" s="13"/>
    </row>
    <row r="449" spans="1:13" s="107" customFormat="1" ht="13.5" customHeight="1">
      <c r="A449" s="353" t="s">
        <v>125</v>
      </c>
      <c r="B449" s="33" t="s">
        <v>8</v>
      </c>
      <c r="C449" s="33">
        <f>SUM(C450:C454)</f>
        <v>1512100</v>
      </c>
      <c r="E449" s="530"/>
      <c r="F449" s="534"/>
      <c r="G449" s="539"/>
      <c r="H449" s="13"/>
      <c r="I449" s="13"/>
      <c r="J449" s="13"/>
      <c r="K449" s="13"/>
      <c r="L449" s="13"/>
      <c r="M449" s="13"/>
    </row>
    <row r="450" spans="1:13" s="107" customFormat="1" ht="13.5" customHeight="1" hidden="1">
      <c r="A450" s="107" t="s">
        <v>102</v>
      </c>
      <c r="B450" s="25" t="s">
        <v>8</v>
      </c>
      <c r="C450" s="821">
        <f>266100-15000</f>
        <v>251100</v>
      </c>
      <c r="F450" s="535"/>
      <c r="G450" s="941"/>
      <c r="H450" s="13"/>
      <c r="I450" s="13"/>
      <c r="J450" s="13"/>
      <c r="K450" s="13"/>
      <c r="L450" s="13"/>
      <c r="M450" s="13"/>
    </row>
    <row r="451" spans="1:10" s="12" customFormat="1" ht="13.5" customHeight="1" hidden="1">
      <c r="A451" s="107" t="s">
        <v>205</v>
      </c>
      <c r="B451" s="25" t="s">
        <v>54</v>
      </c>
      <c r="C451" s="821">
        <v>6000</v>
      </c>
      <c r="E451" s="531"/>
      <c r="F451" s="531"/>
      <c r="G451" s="757"/>
      <c r="H451" s="13"/>
      <c r="I451" s="13"/>
      <c r="J451" s="13"/>
    </row>
    <row r="452" spans="1:10" s="12" customFormat="1" ht="13.5" customHeight="1" hidden="1">
      <c r="A452" s="107" t="s">
        <v>268</v>
      </c>
      <c r="B452" s="57" t="s">
        <v>267</v>
      </c>
      <c r="C452" s="821">
        <v>145000</v>
      </c>
      <c r="E452" s="531"/>
      <c r="G452" s="531"/>
      <c r="H452" s="535"/>
      <c r="I452" s="13"/>
      <c r="J452" s="13"/>
    </row>
    <row r="453" spans="1:13" s="107" customFormat="1" ht="13.5" customHeight="1" hidden="1">
      <c r="A453" s="107" t="s">
        <v>266</v>
      </c>
      <c r="B453" s="13" t="s">
        <v>265</v>
      </c>
      <c r="C453" s="821">
        <f>1250000-305000</f>
        <v>945000</v>
      </c>
      <c r="E453" s="531"/>
      <c r="F453" s="13"/>
      <c r="G453" s="757"/>
      <c r="H453" s="13"/>
      <c r="I453" s="13"/>
      <c r="J453" s="13"/>
      <c r="K453" s="13"/>
      <c r="L453" s="13"/>
      <c r="M453" s="13"/>
    </row>
    <row r="454" spans="1:13" s="107" customFormat="1" ht="13.5" customHeight="1" hidden="1">
      <c r="A454" s="107" t="s">
        <v>100</v>
      </c>
      <c r="B454" s="25" t="s">
        <v>7</v>
      </c>
      <c r="C454" s="821">
        <v>165000</v>
      </c>
      <c r="E454" s="530"/>
      <c r="F454" s="534"/>
      <c r="G454" s="757"/>
      <c r="H454" s="13"/>
      <c r="I454" s="13"/>
      <c r="J454" s="25"/>
      <c r="K454" s="13"/>
      <c r="L454" s="13"/>
      <c r="M454" s="13"/>
    </row>
    <row r="455" spans="2:13" s="107" customFormat="1" ht="13.5" customHeight="1" thickBot="1">
      <c r="B455" s="25"/>
      <c r="C455" s="24"/>
      <c r="E455" s="531"/>
      <c r="F455" s="941"/>
      <c r="G455" s="757"/>
      <c r="H455" s="13"/>
      <c r="I455" s="13"/>
      <c r="J455" s="13"/>
      <c r="K455" s="13"/>
      <c r="L455" s="13"/>
      <c r="M455" s="13"/>
    </row>
    <row r="456" spans="1:7" ht="14.25" thickBot="1">
      <c r="A456" s="953" t="s">
        <v>5</v>
      </c>
      <c r="B456" s="954"/>
      <c r="C456" s="37">
        <f>C457</f>
        <v>23000</v>
      </c>
      <c r="G456" s="759"/>
    </row>
    <row r="457" spans="1:7" s="527" customFormat="1" ht="13.5">
      <c r="A457" s="353" t="s">
        <v>139</v>
      </c>
      <c r="B457" s="404" t="s">
        <v>140</v>
      </c>
      <c r="C457" s="34">
        <f>SUM(C458:C459)</f>
        <v>23000</v>
      </c>
      <c r="D457" s="526"/>
      <c r="E457" s="526"/>
      <c r="F457" s="588"/>
      <c r="G457" s="758"/>
    </row>
    <row r="458" spans="1:7" ht="13.5" hidden="1">
      <c r="A458" s="107" t="s">
        <v>929</v>
      </c>
      <c r="B458" s="107" t="s">
        <v>930</v>
      </c>
      <c r="C458" s="821">
        <v>13500</v>
      </c>
      <c r="G458" s="759"/>
    </row>
    <row r="459" spans="1:7" ht="13.5" hidden="1">
      <c r="A459" s="107" t="s">
        <v>157</v>
      </c>
      <c r="B459" s="107" t="s">
        <v>12</v>
      </c>
      <c r="C459" s="821">
        <v>9500</v>
      </c>
      <c r="G459" s="759"/>
    </row>
    <row r="460" spans="1:7" ht="14.25" thickBot="1">
      <c r="A460" s="107"/>
      <c r="B460" s="107"/>
      <c r="C460" s="24"/>
      <c r="G460" s="759"/>
    </row>
    <row r="461" spans="1:7" ht="14.25" thickBot="1">
      <c r="A461" s="951" t="s">
        <v>4</v>
      </c>
      <c r="B461" s="952"/>
      <c r="C461" s="662">
        <f>C462+C466</f>
        <v>47530</v>
      </c>
      <c r="G461" s="759"/>
    </row>
    <row r="462" spans="1:7" s="527" customFormat="1" ht="13.5">
      <c r="A462" s="353" t="s">
        <v>126</v>
      </c>
      <c r="B462" s="404" t="s">
        <v>127</v>
      </c>
      <c r="C462" s="34">
        <f>SUM(C463:C465)</f>
        <v>40000</v>
      </c>
      <c r="D462" s="526"/>
      <c r="E462" s="526"/>
      <c r="F462" s="588"/>
      <c r="G462" s="758"/>
    </row>
    <row r="463" spans="1:13" s="5" customFormat="1" ht="13.5" hidden="1">
      <c r="A463" s="107" t="s">
        <v>101</v>
      </c>
      <c r="B463" s="107" t="s">
        <v>152</v>
      </c>
      <c r="C463" s="821">
        <f>23000-5000</f>
        <v>18000</v>
      </c>
      <c r="D463" s="530"/>
      <c r="E463" s="530"/>
      <c r="F463" s="659"/>
      <c r="G463" s="942"/>
      <c r="H463" s="208"/>
      <c r="I463" s="208"/>
      <c r="J463" s="208"/>
      <c r="K463" s="208"/>
      <c r="L463" s="208"/>
      <c r="M463" s="208"/>
    </row>
    <row r="464" spans="1:7" s="1" customFormat="1" ht="13.5" hidden="1">
      <c r="A464" s="107" t="s">
        <v>62</v>
      </c>
      <c r="B464" s="13" t="s">
        <v>63</v>
      </c>
      <c r="C464" s="826">
        <v>9500</v>
      </c>
      <c r="D464" s="19"/>
      <c r="E464" s="19"/>
      <c r="F464" s="655"/>
      <c r="G464" s="759"/>
    </row>
    <row r="465" spans="1:7" s="1" customFormat="1" ht="13.5" hidden="1">
      <c r="A465" s="107" t="s">
        <v>998</v>
      </c>
      <c r="B465" s="13" t="s">
        <v>999</v>
      </c>
      <c r="C465" s="826">
        <v>12500</v>
      </c>
      <c r="D465" s="19"/>
      <c r="E465" s="19"/>
      <c r="F465" s="655"/>
      <c r="G465" s="759"/>
    </row>
    <row r="466" spans="1:13" s="5" customFormat="1" ht="13.5">
      <c r="A466" s="353" t="s">
        <v>188</v>
      </c>
      <c r="B466" s="26" t="s">
        <v>145</v>
      </c>
      <c r="C466" s="33">
        <f>SUM(C467)</f>
        <v>7530</v>
      </c>
      <c r="D466" s="530"/>
      <c r="E466" s="530"/>
      <c r="F466" s="659"/>
      <c r="G466" s="942"/>
      <c r="H466" s="208"/>
      <c r="I466" s="208"/>
      <c r="J466" s="208"/>
      <c r="K466" s="208"/>
      <c r="L466" s="208"/>
      <c r="M466" s="208"/>
    </row>
    <row r="467" spans="1:13" s="5" customFormat="1" ht="13.5" hidden="1">
      <c r="A467" s="107" t="s">
        <v>189</v>
      </c>
      <c r="B467" s="24" t="s">
        <v>56</v>
      </c>
      <c r="C467" s="821">
        <v>7530</v>
      </c>
      <c r="D467" s="530"/>
      <c r="E467" s="530"/>
      <c r="F467" s="659"/>
      <c r="G467" s="942"/>
      <c r="H467" s="208"/>
      <c r="I467" s="208"/>
      <c r="J467" s="208"/>
      <c r="K467" s="208"/>
      <c r="L467" s="208"/>
      <c r="M467" s="208"/>
    </row>
    <row r="468" spans="1:7" ht="13.5">
      <c r="A468" s="107"/>
      <c r="B468" s="107"/>
      <c r="C468" s="24"/>
      <c r="G468" s="759"/>
    </row>
    <row r="469" ht="13.5" thickBot="1"/>
    <row r="470" spans="1:6" s="1" customFormat="1" ht="12.75">
      <c r="A470" s="64" t="s">
        <v>1416</v>
      </c>
      <c r="B470" s="221"/>
      <c r="C470" s="65"/>
      <c r="D470" s="67" t="s">
        <v>6</v>
      </c>
      <c r="E470" s="516" t="s">
        <v>1018</v>
      </c>
      <c r="F470" s="655"/>
    </row>
    <row r="471" spans="1:6" s="1" customFormat="1" ht="13.5" thickBot="1">
      <c r="A471" s="49"/>
      <c r="B471" s="205"/>
      <c r="C471" s="119"/>
      <c r="D471" s="121"/>
      <c r="E471" s="517"/>
      <c r="F471" s="655"/>
    </row>
    <row r="472" spans="1:6" s="1" customFormat="1" ht="12.75">
      <c r="A472" s="64" t="s">
        <v>1019</v>
      </c>
      <c r="B472" s="221"/>
      <c r="C472" s="65"/>
      <c r="D472" s="65"/>
      <c r="E472" s="449"/>
      <c r="F472" s="655"/>
    </row>
    <row r="473" spans="1:6" s="1" customFormat="1" ht="12.75">
      <c r="A473" s="45" t="s">
        <v>1020</v>
      </c>
      <c r="B473" s="208"/>
      <c r="C473" s="172"/>
      <c r="D473" s="172"/>
      <c r="E473" s="450"/>
      <c r="F473" s="655"/>
    </row>
    <row r="474" spans="1:6" s="1" customFormat="1" ht="12.75">
      <c r="A474" s="45" t="s">
        <v>1021</v>
      </c>
      <c r="B474" s="208"/>
      <c r="C474" s="172"/>
      <c r="D474" s="172"/>
      <c r="E474" s="450"/>
      <c r="F474" s="655"/>
    </row>
    <row r="475" spans="1:8" s="1" customFormat="1" ht="12.75">
      <c r="A475" s="45" t="s">
        <v>1022</v>
      </c>
      <c r="B475" s="208"/>
      <c r="C475" s="172"/>
      <c r="D475" s="172"/>
      <c r="E475" s="450"/>
      <c r="F475" s="837"/>
      <c r="G475" s="208"/>
      <c r="H475" s="208"/>
    </row>
    <row r="476" spans="1:8" s="1" customFormat="1" ht="12.75">
      <c r="A476" s="45" t="s">
        <v>1023</v>
      </c>
      <c r="B476" s="208"/>
      <c r="C476" s="172"/>
      <c r="D476" s="172"/>
      <c r="E476" s="450"/>
      <c r="F476" s="659"/>
      <c r="G476" s="208"/>
      <c r="H476" s="208"/>
    </row>
    <row r="477" spans="1:6" s="1" customFormat="1" ht="12.75">
      <c r="A477" s="45" t="s">
        <v>1024</v>
      </c>
      <c r="B477" s="208"/>
      <c r="C477" s="172"/>
      <c r="D477" s="172"/>
      <c r="E477" s="450"/>
      <c r="F477" s="655"/>
    </row>
    <row r="478" spans="1:6" s="1" customFormat="1" ht="12.75">
      <c r="A478" s="45" t="s">
        <v>1025</v>
      </c>
      <c r="B478" s="208"/>
      <c r="C478" s="172"/>
      <c r="D478" s="172"/>
      <c r="E478" s="450"/>
      <c r="F478" s="655"/>
    </row>
    <row r="479" spans="1:6" s="1" customFormat="1" ht="12.75">
      <c r="A479" s="45" t="s">
        <v>1026</v>
      </c>
      <c r="B479" s="208"/>
      <c r="C479" s="172"/>
      <c r="D479" s="172"/>
      <c r="E479" s="450"/>
      <c r="F479" s="655"/>
    </row>
    <row r="480" spans="1:6" s="1" customFormat="1" ht="13.5" thickBot="1">
      <c r="A480" s="49" t="s">
        <v>1027</v>
      </c>
      <c r="B480" s="205"/>
      <c r="C480" s="119"/>
      <c r="D480" s="119"/>
      <c r="E480" s="452"/>
      <c r="F480" s="655"/>
    </row>
    <row r="481" spans="1:5" s="1" customFormat="1" ht="13.5">
      <c r="A481" s="169" t="s">
        <v>1365</v>
      </c>
      <c r="B481" s="245"/>
      <c r="C481" s="601"/>
      <c r="D481" s="601"/>
      <c r="E481" s="603"/>
    </row>
    <row r="482" spans="1:5" s="1" customFormat="1" ht="13.5">
      <c r="A482" s="52" t="s">
        <v>1028</v>
      </c>
      <c r="B482" s="13"/>
      <c r="C482" s="25"/>
      <c r="D482" s="25"/>
      <c r="E482" s="453"/>
    </row>
    <row r="483" spans="1:7" s="1" customFormat="1" ht="13.5">
      <c r="A483" s="52" t="s">
        <v>1421</v>
      </c>
      <c r="B483" s="12"/>
      <c r="C483" s="33"/>
      <c r="D483" s="33"/>
      <c r="E483" s="212"/>
      <c r="G483" s="15"/>
    </row>
    <row r="484" spans="1:7" s="1" customFormat="1" ht="14.25" thickBot="1">
      <c r="A484" s="111" t="s">
        <v>16</v>
      </c>
      <c r="B484" s="651"/>
      <c r="C484" s="62"/>
      <c r="D484" s="62"/>
      <c r="E484" s="230"/>
      <c r="G484" s="15"/>
    </row>
    <row r="485" spans="1:6" s="1" customFormat="1" ht="14.25" thickBot="1">
      <c r="A485" s="54" t="s">
        <v>17</v>
      </c>
      <c r="B485" s="667"/>
      <c r="C485" s="55"/>
      <c r="D485" s="191"/>
      <c r="E485" s="161">
        <f>+C487+C502+C524+C520</f>
        <v>611970</v>
      </c>
      <c r="F485" s="655"/>
    </row>
    <row r="486" ht="14.25" thickBot="1">
      <c r="F486" s="547"/>
    </row>
    <row r="487" spans="1:6" ht="14.25" thickBot="1">
      <c r="A487" s="947" t="s">
        <v>2</v>
      </c>
      <c r="B487" s="948"/>
      <c r="C487" s="38">
        <f>C488+C490+C492+C494+C496+C498</f>
        <v>72120</v>
      </c>
      <c r="F487" s="282"/>
    </row>
    <row r="488" spans="1:6" s="527" customFormat="1" ht="13.5">
      <c r="A488" s="12" t="s">
        <v>113</v>
      </c>
      <c r="B488" s="404" t="s">
        <v>114</v>
      </c>
      <c r="C488" s="34">
        <f>SUM(C489)</f>
        <v>12100</v>
      </c>
      <c r="D488" s="526"/>
      <c r="E488" s="526"/>
      <c r="F488" s="588"/>
    </row>
    <row r="489" spans="1:7" s="13" customFormat="1" ht="13.5" customHeight="1" hidden="1">
      <c r="A489" s="13" t="s">
        <v>50</v>
      </c>
      <c r="B489" s="13" t="s">
        <v>49</v>
      </c>
      <c r="C489" s="821">
        <v>12100</v>
      </c>
      <c r="D489" s="585"/>
      <c r="E489" s="531"/>
      <c r="F489" s="659"/>
      <c r="G489" s="575"/>
    </row>
    <row r="490" spans="1:6" ht="13.5">
      <c r="A490" s="12" t="s">
        <v>223</v>
      </c>
      <c r="B490" s="812" t="s">
        <v>222</v>
      </c>
      <c r="C490" s="33">
        <f>SUM(C491)</f>
        <v>4550</v>
      </c>
      <c r="F490" s="282"/>
    </row>
    <row r="491" spans="1:6" ht="13.5" hidden="1">
      <c r="A491" s="13" t="s">
        <v>271</v>
      </c>
      <c r="B491" s="142" t="s">
        <v>270</v>
      </c>
      <c r="C491" s="821">
        <v>4550</v>
      </c>
      <c r="F491" s="282"/>
    </row>
    <row r="492" spans="1:7" s="13" customFormat="1" ht="13.5" customHeight="1">
      <c r="A492" s="12" t="s">
        <v>115</v>
      </c>
      <c r="B492" s="12" t="s">
        <v>116</v>
      </c>
      <c r="C492" s="33">
        <f>SUM(C493)</f>
        <v>18830</v>
      </c>
      <c r="D492" s="534"/>
      <c r="F492" s="616"/>
      <c r="G492" s="575"/>
    </row>
    <row r="493" spans="1:13" s="5" customFormat="1" ht="13.5" hidden="1">
      <c r="A493" s="13" t="s">
        <v>96</v>
      </c>
      <c r="B493" s="107" t="s">
        <v>71</v>
      </c>
      <c r="C493" s="821">
        <v>18830</v>
      </c>
      <c r="D493" s="663"/>
      <c r="E493" s="671"/>
      <c r="F493" s="659"/>
      <c r="G493" s="208"/>
      <c r="H493" s="208"/>
      <c r="I493" s="208"/>
      <c r="J493" s="208"/>
      <c r="K493" s="208"/>
      <c r="L493" s="208"/>
      <c r="M493" s="208"/>
    </row>
    <row r="494" spans="1:13" s="5" customFormat="1" ht="13.5">
      <c r="A494" s="12" t="s">
        <v>117</v>
      </c>
      <c r="B494" s="353" t="s">
        <v>118</v>
      </c>
      <c r="C494" s="33">
        <f>SUM(C495)</f>
        <v>13750</v>
      </c>
      <c r="D494" s="663"/>
      <c r="E494" s="671"/>
      <c r="F494" s="659"/>
      <c r="G494" s="208"/>
      <c r="H494" s="208"/>
      <c r="I494" s="208"/>
      <c r="J494" s="208"/>
      <c r="K494" s="208"/>
      <c r="L494" s="208"/>
      <c r="M494" s="208"/>
    </row>
    <row r="495" spans="1:13" s="5" customFormat="1" ht="13.5" hidden="1">
      <c r="A495" s="13" t="s">
        <v>51</v>
      </c>
      <c r="B495" s="24" t="s">
        <v>52</v>
      </c>
      <c r="C495" s="821">
        <v>13750</v>
      </c>
      <c r="D495" s="663"/>
      <c r="E495" s="672"/>
      <c r="F495" s="659"/>
      <c r="G495" s="575"/>
      <c r="H495" s="208"/>
      <c r="I495" s="208"/>
      <c r="J495" s="208"/>
      <c r="K495" s="208"/>
      <c r="L495" s="208"/>
      <c r="M495" s="208"/>
    </row>
    <row r="496" spans="1:13" s="5" customFormat="1" ht="13.5">
      <c r="A496" s="353" t="s">
        <v>134</v>
      </c>
      <c r="B496" s="33" t="s">
        <v>133</v>
      </c>
      <c r="C496" s="33">
        <f>SUM(C497)</f>
        <v>3900</v>
      </c>
      <c r="D496" s="663"/>
      <c r="E496" s="672"/>
      <c r="F496" s="659"/>
      <c r="G496" s="575"/>
      <c r="H496" s="208"/>
      <c r="I496" s="208"/>
      <c r="J496" s="208"/>
      <c r="K496" s="208"/>
      <c r="L496" s="208"/>
      <c r="M496" s="208"/>
    </row>
    <row r="497" spans="1:13" s="5" customFormat="1" ht="13.5" hidden="1">
      <c r="A497" s="107" t="s">
        <v>103</v>
      </c>
      <c r="B497" s="25" t="s">
        <v>78</v>
      </c>
      <c r="C497" s="821">
        <v>3900</v>
      </c>
      <c r="D497" s="100"/>
      <c r="E497" s="671"/>
      <c r="F497" s="659"/>
      <c r="G497" s="575"/>
      <c r="H497" s="208"/>
      <c r="I497" s="208"/>
      <c r="J497" s="208"/>
      <c r="K497" s="208"/>
      <c r="L497" s="208"/>
      <c r="M497" s="208"/>
    </row>
    <row r="498" spans="1:13" s="5" customFormat="1" ht="13.5">
      <c r="A498" s="353" t="s">
        <v>169</v>
      </c>
      <c r="B498" s="26" t="s">
        <v>135</v>
      </c>
      <c r="C498" s="26">
        <f>SUM(C499:C500)</f>
        <v>18990</v>
      </c>
      <c r="D498" s="585"/>
      <c r="E498" s="673"/>
      <c r="F498" s="659"/>
      <c r="G498" s="575"/>
      <c r="H498" s="208"/>
      <c r="I498" s="208"/>
      <c r="J498" s="208"/>
      <c r="K498" s="208"/>
      <c r="L498" s="208"/>
      <c r="M498" s="208"/>
    </row>
    <row r="499" spans="1:13" s="5" customFormat="1" ht="13.5" hidden="1">
      <c r="A499" s="107" t="s">
        <v>171</v>
      </c>
      <c r="B499" s="25" t="s">
        <v>75</v>
      </c>
      <c r="C499" s="821">
        <v>9750</v>
      </c>
      <c r="E499" s="660"/>
      <c r="F499" s="659"/>
      <c r="G499" s="575"/>
      <c r="H499" s="208"/>
      <c r="I499" s="208"/>
      <c r="J499" s="208"/>
      <c r="K499" s="208"/>
      <c r="L499" s="208"/>
      <c r="M499" s="208"/>
    </row>
    <row r="500" spans="1:13" s="5" customFormat="1" ht="13.5" hidden="1">
      <c r="A500" s="107" t="s">
        <v>173</v>
      </c>
      <c r="B500" s="24" t="s">
        <v>135</v>
      </c>
      <c r="C500" s="821">
        <v>9240</v>
      </c>
      <c r="E500" s="660"/>
      <c r="F500" s="659"/>
      <c r="G500" s="575"/>
      <c r="H500" s="208"/>
      <c r="I500" s="208"/>
      <c r="J500" s="208"/>
      <c r="K500" s="208"/>
      <c r="L500" s="208"/>
      <c r="M500" s="208"/>
    </row>
    <row r="501" spans="1:13" s="5" customFormat="1" ht="14.25" thickBot="1">
      <c r="A501" s="107"/>
      <c r="B501" s="25"/>
      <c r="C501" s="24"/>
      <c r="D501" s="585"/>
      <c r="E501" s="673"/>
      <c r="F501" s="659"/>
      <c r="G501" s="575"/>
      <c r="H501" s="208"/>
      <c r="I501" s="208"/>
      <c r="J501" s="208"/>
      <c r="K501" s="208"/>
      <c r="L501" s="208"/>
      <c r="M501" s="208"/>
    </row>
    <row r="502" spans="1:5" ht="14.25" thickBot="1">
      <c r="A502" s="949" t="s">
        <v>3</v>
      </c>
      <c r="B502" s="950"/>
      <c r="C502" s="36">
        <f>C503+C506+C508+C511+C513</f>
        <v>484000</v>
      </c>
      <c r="D502" s="664"/>
      <c r="E502" s="664"/>
    </row>
    <row r="503" spans="1:6" s="527" customFormat="1" ht="13.5">
      <c r="A503" s="353" t="s">
        <v>120</v>
      </c>
      <c r="B503" s="404" t="s">
        <v>121</v>
      </c>
      <c r="C503" s="34">
        <f>SUM(C504:C505)</f>
        <v>22400</v>
      </c>
      <c r="D503" s="555"/>
      <c r="E503" s="555"/>
      <c r="F503" s="588"/>
    </row>
    <row r="504" spans="1:13" s="107" customFormat="1" ht="13.5" customHeight="1" hidden="1">
      <c r="A504" s="107" t="s">
        <v>57</v>
      </c>
      <c r="B504" s="25" t="s">
        <v>18</v>
      </c>
      <c r="C504" s="821">
        <v>9900</v>
      </c>
      <c r="D504" s="534"/>
      <c r="E504" s="673"/>
      <c r="F504" s="659"/>
      <c r="G504" s="539"/>
      <c r="H504" s="25"/>
      <c r="I504" s="13"/>
      <c r="J504" s="13"/>
      <c r="K504" s="13"/>
      <c r="L504" s="13"/>
      <c r="M504" s="13"/>
    </row>
    <row r="505" spans="1:13" s="107" customFormat="1" ht="13.5" customHeight="1" hidden="1">
      <c r="A505" s="107" t="s">
        <v>717</v>
      </c>
      <c r="B505" s="25" t="s">
        <v>718</v>
      </c>
      <c r="C505" s="821">
        <v>12500</v>
      </c>
      <c r="D505" s="535"/>
      <c r="E505" s="530"/>
      <c r="F505" s="659"/>
      <c r="G505" s="539"/>
      <c r="H505" s="25"/>
      <c r="I505" s="13"/>
      <c r="J505" s="13"/>
      <c r="K505" s="13"/>
      <c r="L505" s="13"/>
      <c r="M505" s="13"/>
    </row>
    <row r="506" spans="1:13" s="107" customFormat="1" ht="13.5" customHeight="1">
      <c r="A506" s="12" t="s">
        <v>130</v>
      </c>
      <c r="B506" s="33" t="s">
        <v>131</v>
      </c>
      <c r="C506" s="33">
        <f>SUM(C507)</f>
        <v>5100</v>
      </c>
      <c r="D506" s="534"/>
      <c r="E506" s="673"/>
      <c r="F506" s="659"/>
      <c r="G506" s="539"/>
      <c r="H506" s="25"/>
      <c r="I506" s="13"/>
      <c r="J506" s="13"/>
      <c r="K506" s="13"/>
      <c r="L506" s="13"/>
      <c r="M506" s="13"/>
    </row>
    <row r="507" spans="1:13" s="107" customFormat="1" ht="13.5" customHeight="1" hidden="1">
      <c r="A507" s="13" t="s">
        <v>148</v>
      </c>
      <c r="B507" s="13" t="s">
        <v>77</v>
      </c>
      <c r="C507" s="821">
        <v>5100</v>
      </c>
      <c r="D507" s="534"/>
      <c r="E507" s="673"/>
      <c r="F507" s="659"/>
      <c r="G507" s="539"/>
      <c r="H507" s="25"/>
      <c r="I507" s="13"/>
      <c r="J507" s="13"/>
      <c r="K507" s="13"/>
      <c r="L507" s="13"/>
      <c r="M507" s="13"/>
    </row>
    <row r="508" spans="1:13" s="107" customFormat="1" ht="13.5" customHeight="1">
      <c r="A508" s="353" t="s">
        <v>122</v>
      </c>
      <c r="B508" s="33" t="s">
        <v>175</v>
      </c>
      <c r="C508" s="33">
        <f>SUM(C509:C510)</f>
        <v>126400</v>
      </c>
      <c r="D508" s="534"/>
      <c r="E508" s="673"/>
      <c r="F508" s="659"/>
      <c r="G508" s="539"/>
      <c r="H508" s="25"/>
      <c r="I508" s="13"/>
      <c r="J508" s="13"/>
      <c r="K508" s="13"/>
      <c r="L508" s="13"/>
      <c r="M508" s="13"/>
    </row>
    <row r="509" spans="1:13" s="107" customFormat="1" ht="13.5" customHeight="1" hidden="1">
      <c r="A509" s="107" t="s">
        <v>150</v>
      </c>
      <c r="B509" s="13" t="s">
        <v>149</v>
      </c>
      <c r="C509" s="821">
        <v>5400</v>
      </c>
      <c r="D509" s="534"/>
      <c r="E509" s="673"/>
      <c r="F509" s="659"/>
      <c r="G509" s="539"/>
      <c r="H509" s="25"/>
      <c r="I509" s="13"/>
      <c r="J509" s="13"/>
      <c r="K509" s="13"/>
      <c r="L509" s="13"/>
      <c r="M509" s="13"/>
    </row>
    <row r="510" spans="1:13" s="107" customFormat="1" ht="13.5" customHeight="1" hidden="1">
      <c r="A510" s="107" t="s">
        <v>174</v>
      </c>
      <c r="B510" s="13" t="s">
        <v>97</v>
      </c>
      <c r="C510" s="821">
        <v>121000</v>
      </c>
      <c r="D510" s="534"/>
      <c r="F510" s="660"/>
      <c r="G510" s="659"/>
      <c r="H510" s="539"/>
      <c r="I510" s="13"/>
      <c r="J510" s="13"/>
      <c r="K510" s="13"/>
      <c r="L510" s="13"/>
      <c r="M510" s="13"/>
    </row>
    <row r="511" spans="1:13" s="107" customFormat="1" ht="13.5" customHeight="1">
      <c r="A511" s="12" t="s">
        <v>123</v>
      </c>
      <c r="B511" s="12" t="s">
        <v>124</v>
      </c>
      <c r="C511" s="33">
        <f>SUM(C512:C512)</f>
        <v>7800</v>
      </c>
      <c r="D511" s="534"/>
      <c r="F511" s="660"/>
      <c r="G511" s="659"/>
      <c r="H511" s="539"/>
      <c r="I511" s="13"/>
      <c r="J511" s="13"/>
      <c r="K511" s="13"/>
      <c r="L511" s="13"/>
      <c r="M511" s="13"/>
    </row>
    <row r="512" spans="1:13" s="107" customFormat="1" ht="13.5" customHeight="1" hidden="1">
      <c r="A512" s="13" t="s">
        <v>184</v>
      </c>
      <c r="B512" s="13" t="s">
        <v>83</v>
      </c>
      <c r="C512" s="821">
        <v>7800</v>
      </c>
      <c r="D512" s="534"/>
      <c r="F512" s="660"/>
      <c r="G512" s="659"/>
      <c r="H512" s="539"/>
      <c r="I512" s="13"/>
      <c r="J512" s="13"/>
      <c r="K512" s="13"/>
      <c r="L512" s="13"/>
      <c r="M512" s="13"/>
    </row>
    <row r="513" spans="1:13" s="107" customFormat="1" ht="13.5" customHeight="1">
      <c r="A513" s="353" t="s">
        <v>125</v>
      </c>
      <c r="B513" s="33" t="s">
        <v>8</v>
      </c>
      <c r="C513" s="33">
        <f>SUM(C514:C518)</f>
        <v>322300</v>
      </c>
      <c r="D513" s="534"/>
      <c r="F513" s="660"/>
      <c r="G513" s="659"/>
      <c r="H513" s="539"/>
      <c r="I513" s="13"/>
      <c r="J513" s="13"/>
      <c r="K513" s="13"/>
      <c r="L513" s="13"/>
      <c r="M513" s="13"/>
    </row>
    <row r="514" spans="1:13" s="107" customFormat="1" ht="13.5" customHeight="1" hidden="1">
      <c r="A514" s="107" t="s">
        <v>102</v>
      </c>
      <c r="B514" s="25" t="s">
        <v>8</v>
      </c>
      <c r="C514" s="821">
        <v>144000</v>
      </c>
      <c r="D514" s="661"/>
      <c r="F514" s="535"/>
      <c r="G514" s="659"/>
      <c r="H514" s="539"/>
      <c r="I514" s="13"/>
      <c r="J514" s="13"/>
      <c r="K514" s="13"/>
      <c r="L514" s="13"/>
      <c r="M514" s="13"/>
    </row>
    <row r="515" spans="1:10" s="12" customFormat="1" ht="13.5" customHeight="1" hidden="1">
      <c r="A515" s="107" t="s">
        <v>104</v>
      </c>
      <c r="B515" s="25" t="s">
        <v>54</v>
      </c>
      <c r="C515" s="821">
        <v>7700</v>
      </c>
      <c r="D515" s="534"/>
      <c r="E515" s="660"/>
      <c r="F515" s="659"/>
      <c r="G515" s="539"/>
      <c r="H515" s="13"/>
      <c r="I515" s="13"/>
      <c r="J515" s="13"/>
    </row>
    <row r="516" spans="1:10" s="12" customFormat="1" ht="13.5" customHeight="1" hidden="1">
      <c r="A516" s="107" t="s">
        <v>268</v>
      </c>
      <c r="B516" s="57" t="s">
        <v>267</v>
      </c>
      <c r="C516" s="821">
        <v>35000</v>
      </c>
      <c r="D516" s="534"/>
      <c r="E516" s="660"/>
      <c r="F516" s="659"/>
      <c r="G516" s="539"/>
      <c r="H516" s="13"/>
      <c r="I516" s="13"/>
      <c r="J516" s="13"/>
    </row>
    <row r="517" spans="1:13" s="107" customFormat="1" ht="13.5" customHeight="1" hidden="1">
      <c r="A517" s="107" t="s">
        <v>266</v>
      </c>
      <c r="B517" s="13" t="s">
        <v>265</v>
      </c>
      <c r="C517" s="821">
        <f>150000-30000</f>
        <v>120000</v>
      </c>
      <c r="F517" s="13"/>
      <c r="G517" s="531"/>
      <c r="H517" s="13"/>
      <c r="I517" s="13"/>
      <c r="J517" s="13"/>
      <c r="K517" s="13"/>
      <c r="L517" s="13"/>
      <c r="M517" s="13"/>
    </row>
    <row r="518" spans="1:13" s="107" customFormat="1" ht="13.5" customHeight="1" hidden="1">
      <c r="A518" s="107" t="s">
        <v>100</v>
      </c>
      <c r="B518" s="25" t="s">
        <v>7</v>
      </c>
      <c r="C518" s="821">
        <v>15600</v>
      </c>
      <c r="D518" s="534"/>
      <c r="E518" s="673"/>
      <c r="F518" s="659"/>
      <c r="G518" s="539"/>
      <c r="H518" s="13"/>
      <c r="I518" s="13"/>
      <c r="J518" s="25"/>
      <c r="K518" s="13"/>
      <c r="L518" s="13"/>
      <c r="M518" s="13"/>
    </row>
    <row r="519" spans="2:13" s="107" customFormat="1" ht="13.5" customHeight="1" thickBot="1">
      <c r="B519" s="25"/>
      <c r="C519" s="24"/>
      <c r="D519" s="661"/>
      <c r="E519" s="531"/>
      <c r="F519" s="659"/>
      <c r="G519" s="539"/>
      <c r="H519" s="13"/>
      <c r="I519" s="13"/>
      <c r="J519" s="13"/>
      <c r="K519" s="13"/>
      <c r="L519" s="13"/>
      <c r="M519" s="13"/>
    </row>
    <row r="520" spans="1:3" ht="14.25" thickBot="1">
      <c r="A520" s="953" t="s">
        <v>5</v>
      </c>
      <c r="B520" s="954"/>
      <c r="C520" s="37">
        <f>C521</f>
        <v>40000</v>
      </c>
    </row>
    <row r="521" spans="1:6" s="527" customFormat="1" ht="13.5">
      <c r="A521" s="353" t="s">
        <v>139</v>
      </c>
      <c r="B521" s="404" t="s">
        <v>140</v>
      </c>
      <c r="C521" s="34">
        <f>SUM(C522)</f>
        <v>40000</v>
      </c>
      <c r="D521" s="526"/>
      <c r="E521" s="526"/>
      <c r="F521" s="588"/>
    </row>
    <row r="522" spans="1:4" ht="13.5" hidden="1">
      <c r="A522" s="107" t="s">
        <v>305</v>
      </c>
      <c r="B522" s="107" t="s">
        <v>306</v>
      </c>
      <c r="C522" s="821">
        <v>40000</v>
      </c>
      <c r="D522" s="579"/>
    </row>
    <row r="523" spans="1:3" ht="14.25" thickBot="1">
      <c r="A523" s="107"/>
      <c r="B523" s="107"/>
      <c r="C523" s="24"/>
    </row>
    <row r="524" spans="1:3" ht="14.25" thickBot="1">
      <c r="A524" s="951" t="s">
        <v>4</v>
      </c>
      <c r="B524" s="952"/>
      <c r="C524" s="662">
        <f>C525</f>
        <v>15850</v>
      </c>
    </row>
    <row r="525" spans="1:6" s="527" customFormat="1" ht="13.5">
      <c r="A525" s="353" t="s">
        <v>188</v>
      </c>
      <c r="B525" s="26" t="s">
        <v>145</v>
      </c>
      <c r="C525" s="34">
        <f>SUM(C526)</f>
        <v>15850</v>
      </c>
      <c r="D525" s="526"/>
      <c r="E525" s="526"/>
      <c r="F525" s="588"/>
    </row>
    <row r="526" spans="1:13" s="5" customFormat="1" ht="13.5" hidden="1">
      <c r="A526" s="107" t="s">
        <v>189</v>
      </c>
      <c r="B526" s="24" t="s">
        <v>56</v>
      </c>
      <c r="C526" s="821">
        <v>15850</v>
      </c>
      <c r="D526" s="530"/>
      <c r="E526" s="530"/>
      <c r="F526" s="659"/>
      <c r="G526" s="575"/>
      <c r="H526" s="208"/>
      <c r="I526" s="208"/>
      <c r="J526" s="208"/>
      <c r="K526" s="208"/>
      <c r="L526" s="208"/>
      <c r="M526" s="208"/>
    </row>
    <row r="528" ht="13.5" thickBot="1"/>
    <row r="529" spans="1:6" s="1" customFormat="1" ht="12.75">
      <c r="A529" s="64" t="s">
        <v>1029</v>
      </c>
      <c r="B529" s="221"/>
      <c r="C529" s="65"/>
      <c r="D529" s="67" t="s">
        <v>6</v>
      </c>
      <c r="E529" s="516" t="s">
        <v>1030</v>
      </c>
      <c r="F529" s="655"/>
    </row>
    <row r="530" spans="1:6" s="1" customFormat="1" ht="13.5" thickBot="1">
      <c r="A530" s="49"/>
      <c r="B530" s="205"/>
      <c r="C530" s="119"/>
      <c r="D530" s="121"/>
      <c r="E530" s="517"/>
      <c r="F530" s="655"/>
    </row>
    <row r="531" spans="1:6" s="1" customFormat="1" ht="12.75">
      <c r="A531" s="45" t="s">
        <v>1031</v>
      </c>
      <c r="B531" s="208"/>
      <c r="C531" s="172"/>
      <c r="D531" s="172"/>
      <c r="E531" s="450"/>
      <c r="F531" s="655"/>
    </row>
    <row r="532" spans="1:6" s="1" customFormat="1" ht="12.75">
      <c r="A532" s="45" t="s">
        <v>1032</v>
      </c>
      <c r="B532" s="208"/>
      <c r="C532" s="172"/>
      <c r="D532" s="172"/>
      <c r="E532" s="450"/>
      <c r="F532" s="655"/>
    </row>
    <row r="533" spans="1:6" s="1" customFormat="1" ht="12.75">
      <c r="A533" s="45" t="s">
        <v>1033</v>
      </c>
      <c r="B533" s="208"/>
      <c r="C533" s="172"/>
      <c r="D533" s="172"/>
      <c r="E533" s="450"/>
      <c r="F533" s="655"/>
    </row>
    <row r="534" spans="1:5" s="1" customFormat="1" ht="12.75">
      <c r="A534" s="45" t="s">
        <v>1034</v>
      </c>
      <c r="B534" s="208"/>
      <c r="C534" s="172"/>
      <c r="D534" s="172"/>
      <c r="E534" s="450"/>
    </row>
    <row r="535" spans="1:5" s="1" customFormat="1" ht="12.75">
      <c r="A535" s="45" t="s">
        <v>1035</v>
      </c>
      <c r="B535" s="208"/>
      <c r="C535" s="172"/>
      <c r="D535" s="172"/>
      <c r="E535" s="212"/>
    </row>
    <row r="536" spans="1:5" s="1" customFormat="1" ht="12.75">
      <c r="A536" s="45" t="s">
        <v>1036</v>
      </c>
      <c r="B536" s="208"/>
      <c r="C536" s="172"/>
      <c r="D536" s="172"/>
      <c r="E536" s="212"/>
    </row>
    <row r="537" spans="1:5" s="1" customFormat="1" ht="12.75">
      <c r="A537" s="45" t="s">
        <v>1037</v>
      </c>
      <c r="B537" s="208"/>
      <c r="C537" s="172"/>
      <c r="D537" s="172"/>
      <c r="E537" s="212"/>
    </row>
    <row r="538" spans="1:5" s="1" customFormat="1" ht="13.5" thickBot="1">
      <c r="A538" s="49" t="s">
        <v>1038</v>
      </c>
      <c r="B538" s="205"/>
      <c r="C538" s="119"/>
      <c r="D538" s="119"/>
      <c r="E538" s="452"/>
    </row>
    <row r="539" spans="1:6" s="1" customFormat="1" ht="13.5">
      <c r="A539" s="52" t="s">
        <v>1365</v>
      </c>
      <c r="B539" s="13"/>
      <c r="C539" s="25"/>
      <c r="D539" s="25"/>
      <c r="E539" s="453"/>
      <c r="F539" s="655"/>
    </row>
    <row r="540" spans="1:7" s="1" customFormat="1" ht="13.5">
      <c r="A540" s="52" t="s">
        <v>1039</v>
      </c>
      <c r="B540" s="13"/>
      <c r="C540" s="25"/>
      <c r="D540" s="25"/>
      <c r="E540" s="453"/>
      <c r="F540" s="655"/>
      <c r="G540" s="15"/>
    </row>
    <row r="541" spans="1:7" s="1" customFormat="1" ht="13.5">
      <c r="A541" s="52" t="s">
        <v>1421</v>
      </c>
      <c r="B541" s="13"/>
      <c r="C541" s="25"/>
      <c r="D541" s="25"/>
      <c r="E541" s="453"/>
      <c r="F541" s="655"/>
      <c r="G541" s="15"/>
    </row>
    <row r="542" spans="1:6" s="1" customFormat="1" ht="14.25" thickBot="1">
      <c r="A542" s="111" t="s">
        <v>16</v>
      </c>
      <c r="B542" s="196"/>
      <c r="C542" s="556"/>
      <c r="D542" s="556"/>
      <c r="E542" s="557"/>
      <c r="F542" s="655"/>
    </row>
    <row r="543" spans="1:6" s="1" customFormat="1" ht="14.25" thickBot="1">
      <c r="A543" s="54" t="s">
        <v>17</v>
      </c>
      <c r="B543" s="192"/>
      <c r="C543" s="55"/>
      <c r="D543" s="191"/>
      <c r="E543" s="161">
        <f>+C545+C560+C584+C579</f>
        <v>895060</v>
      </c>
      <c r="F543" s="655"/>
    </row>
    <row r="544" spans="1:6" ht="14.25" thickBot="1">
      <c r="A544" s="12"/>
      <c r="B544" s="12"/>
      <c r="C544" s="33"/>
      <c r="D544" s="33"/>
      <c r="F544" s="547"/>
    </row>
    <row r="545" spans="1:6" ht="14.25" thickBot="1">
      <c r="A545" s="947" t="s">
        <v>2</v>
      </c>
      <c r="B545" s="948"/>
      <c r="C545" s="38">
        <f>C546+C548+C550+C552+C554+C556</f>
        <v>180160</v>
      </c>
      <c r="D545" s="21"/>
      <c r="F545" s="282"/>
    </row>
    <row r="546" spans="1:6" s="527" customFormat="1" ht="13.5">
      <c r="A546" s="12" t="s">
        <v>113</v>
      </c>
      <c r="B546" s="404" t="s">
        <v>114</v>
      </c>
      <c r="C546" s="34">
        <f>SUM(C547)</f>
        <v>13500</v>
      </c>
      <c r="D546" s="526"/>
      <c r="E546" s="526"/>
      <c r="F546" s="588"/>
    </row>
    <row r="547" spans="1:7" s="13" customFormat="1" ht="13.5" customHeight="1" hidden="1">
      <c r="A547" s="13" t="s">
        <v>50</v>
      </c>
      <c r="B547" s="13" t="s">
        <v>49</v>
      </c>
      <c r="C547" s="821">
        <f>18500-5000</f>
        <v>13500</v>
      </c>
      <c r="D547" s="585"/>
      <c r="E547" s="531"/>
      <c r="F547" s="659"/>
      <c r="G547" s="575"/>
    </row>
    <row r="548" spans="1:7" s="13" customFormat="1" ht="13.5" customHeight="1">
      <c r="A548" s="12" t="s">
        <v>115</v>
      </c>
      <c r="B548" s="12" t="s">
        <v>116</v>
      </c>
      <c r="C548" s="33">
        <f>SUM(C549)</f>
        <v>49100</v>
      </c>
      <c r="D548" s="674"/>
      <c r="F548" s="616"/>
      <c r="G548" s="575"/>
    </row>
    <row r="549" spans="1:13" s="5" customFormat="1" ht="13.5" hidden="1">
      <c r="A549" s="13" t="s">
        <v>96</v>
      </c>
      <c r="B549" s="107" t="s">
        <v>71</v>
      </c>
      <c r="C549" s="821">
        <v>49100</v>
      </c>
      <c r="D549" s="674"/>
      <c r="E549" s="670"/>
      <c r="F549" s="659"/>
      <c r="G549" s="208"/>
      <c r="H549" s="208"/>
      <c r="I549" s="208"/>
      <c r="J549" s="208"/>
      <c r="K549" s="208"/>
      <c r="L549" s="208"/>
      <c r="M549" s="208"/>
    </row>
    <row r="550" spans="1:13" s="5" customFormat="1" ht="13.5">
      <c r="A550" s="12" t="s">
        <v>117</v>
      </c>
      <c r="B550" s="353" t="s">
        <v>118</v>
      </c>
      <c r="C550" s="33">
        <f>SUM(C551)</f>
        <v>21360</v>
      </c>
      <c r="D550" s="674"/>
      <c r="E550" s="670"/>
      <c r="F550" s="659"/>
      <c r="G550" s="208"/>
      <c r="H550" s="208"/>
      <c r="I550" s="208"/>
      <c r="J550" s="208"/>
      <c r="K550" s="208"/>
      <c r="L550" s="208"/>
      <c r="M550" s="208"/>
    </row>
    <row r="551" spans="1:13" s="5" customFormat="1" ht="13.5" hidden="1">
      <c r="A551" s="13" t="s">
        <v>51</v>
      </c>
      <c r="B551" s="24" t="s">
        <v>52</v>
      </c>
      <c r="C551" s="821">
        <v>21360</v>
      </c>
      <c r="E551" s="670"/>
      <c r="F551" s="674"/>
      <c r="G551" s="575"/>
      <c r="H551" s="208"/>
      <c r="I551" s="208"/>
      <c r="J551" s="208"/>
      <c r="K551" s="208"/>
      <c r="L551" s="208"/>
      <c r="M551" s="208"/>
    </row>
    <row r="552" spans="1:13" s="5" customFormat="1" ht="13.5">
      <c r="A552" s="353" t="s">
        <v>129</v>
      </c>
      <c r="B552" s="26" t="s">
        <v>119</v>
      </c>
      <c r="C552" s="33">
        <f>SUM(C553)</f>
        <v>5200</v>
      </c>
      <c r="E552" s="670"/>
      <c r="F552" s="674"/>
      <c r="G552" s="575"/>
      <c r="H552" s="208"/>
      <c r="I552" s="208"/>
      <c r="J552" s="208"/>
      <c r="K552" s="208"/>
      <c r="L552" s="208"/>
      <c r="M552" s="208"/>
    </row>
    <row r="553" spans="1:13" s="5" customFormat="1" ht="13.5" hidden="1">
      <c r="A553" s="107" t="s">
        <v>168</v>
      </c>
      <c r="B553" s="25" t="s">
        <v>551</v>
      </c>
      <c r="C553" s="821">
        <v>5200</v>
      </c>
      <c r="E553" s="670"/>
      <c r="F553" s="663"/>
      <c r="G553" s="575"/>
      <c r="H553" s="208"/>
      <c r="I553" s="208"/>
      <c r="J553" s="208"/>
      <c r="K553" s="208"/>
      <c r="L553" s="208"/>
      <c r="M553" s="208"/>
    </row>
    <row r="554" spans="1:13" s="5" customFormat="1" ht="13.5">
      <c r="A554" s="353" t="s">
        <v>134</v>
      </c>
      <c r="B554" s="33" t="s">
        <v>133</v>
      </c>
      <c r="C554" s="33">
        <f>SUM(C555)</f>
        <v>21050</v>
      </c>
      <c r="E554" s="670"/>
      <c r="F554" s="675"/>
      <c r="G554" s="575"/>
      <c r="H554" s="208"/>
      <c r="I554" s="208"/>
      <c r="J554" s="208"/>
      <c r="K554" s="208"/>
      <c r="L554" s="208"/>
      <c r="M554" s="208"/>
    </row>
    <row r="555" spans="1:13" s="5" customFormat="1" ht="13.5" hidden="1">
      <c r="A555" s="107" t="s">
        <v>103</v>
      </c>
      <c r="B555" s="25" t="s">
        <v>78</v>
      </c>
      <c r="C555" s="821">
        <v>21050</v>
      </c>
      <c r="E555" s="676"/>
      <c r="F555" s="78"/>
      <c r="G555" s="575"/>
      <c r="H555" s="208"/>
      <c r="I555" s="208"/>
      <c r="J555" s="208"/>
      <c r="K555" s="208"/>
      <c r="L555" s="208"/>
      <c r="M555" s="208"/>
    </row>
    <row r="556" spans="1:13" s="5" customFormat="1" ht="13.5">
      <c r="A556" s="353" t="s">
        <v>169</v>
      </c>
      <c r="B556" s="26" t="s">
        <v>135</v>
      </c>
      <c r="C556" s="26">
        <f>SUM(C557:C558)</f>
        <v>69950</v>
      </c>
      <c r="E556" s="530"/>
      <c r="F556" s="531"/>
      <c r="G556" s="575"/>
      <c r="H556" s="208"/>
      <c r="I556" s="208"/>
      <c r="J556" s="208"/>
      <c r="K556" s="208"/>
      <c r="L556" s="208"/>
      <c r="M556" s="208"/>
    </row>
    <row r="557" spans="1:13" s="5" customFormat="1" ht="13.5" hidden="1">
      <c r="A557" s="107" t="s">
        <v>171</v>
      </c>
      <c r="B557" s="25" t="s">
        <v>75</v>
      </c>
      <c r="C557" s="821">
        <v>61500</v>
      </c>
      <c r="E557" s="531"/>
      <c r="F557" s="535"/>
      <c r="G557" s="575"/>
      <c r="H557" s="208"/>
      <c r="I557" s="208"/>
      <c r="J557" s="208"/>
      <c r="K557" s="208"/>
      <c r="L557" s="208"/>
      <c r="M557" s="208"/>
    </row>
    <row r="558" spans="1:13" s="5" customFormat="1" ht="13.5" hidden="1">
      <c r="A558" s="107" t="s">
        <v>173</v>
      </c>
      <c r="B558" s="24" t="s">
        <v>135</v>
      </c>
      <c r="C558" s="821">
        <v>8450</v>
      </c>
      <c r="E558" s="531"/>
      <c r="F558" s="531"/>
      <c r="G558" s="575"/>
      <c r="H558" s="208"/>
      <c r="I558" s="208"/>
      <c r="J558" s="208"/>
      <c r="K558" s="208"/>
      <c r="L558" s="208"/>
      <c r="M558" s="208"/>
    </row>
    <row r="559" spans="1:13" s="5" customFormat="1" ht="14.25" thickBot="1">
      <c r="A559" s="107"/>
      <c r="B559" s="25"/>
      <c r="C559" s="24"/>
      <c r="E559" s="530"/>
      <c r="F559" s="531"/>
      <c r="G559" s="575"/>
      <c r="H559" s="208"/>
      <c r="I559" s="208"/>
      <c r="J559" s="208"/>
      <c r="K559" s="208"/>
      <c r="L559" s="208"/>
      <c r="M559" s="208"/>
    </row>
    <row r="560" spans="1:6" ht="14.25" thickBot="1">
      <c r="A560" s="949" t="s">
        <v>3</v>
      </c>
      <c r="B560" s="950"/>
      <c r="C560" s="36">
        <f>C561+C563+C565+C568+C572</f>
        <v>563050</v>
      </c>
      <c r="F560" s="15"/>
    </row>
    <row r="561" spans="1:6" s="527" customFormat="1" ht="13.5">
      <c r="A561" s="353" t="s">
        <v>120</v>
      </c>
      <c r="B561" s="404" t="s">
        <v>121</v>
      </c>
      <c r="C561" s="34">
        <f>SUM(C562)</f>
        <v>16000</v>
      </c>
      <c r="E561" s="526"/>
      <c r="F561" s="526"/>
    </row>
    <row r="562" spans="1:13" s="107" customFormat="1" ht="13.5" customHeight="1" hidden="1">
      <c r="A562" s="107" t="s">
        <v>57</v>
      </c>
      <c r="B562" s="25" t="s">
        <v>18</v>
      </c>
      <c r="C562" s="821">
        <v>16000</v>
      </c>
      <c r="E562" s="530"/>
      <c r="F562" s="531"/>
      <c r="G562" s="539"/>
      <c r="H562" s="25"/>
      <c r="I562" s="13"/>
      <c r="J562" s="13"/>
      <c r="K562" s="13"/>
      <c r="L562" s="13"/>
      <c r="M562" s="13"/>
    </row>
    <row r="563" spans="1:13" s="107" customFormat="1" ht="13.5" customHeight="1">
      <c r="A563" s="12" t="s">
        <v>130</v>
      </c>
      <c r="B563" s="33" t="s">
        <v>131</v>
      </c>
      <c r="C563" s="33">
        <f>SUM(C564)</f>
        <v>18900</v>
      </c>
      <c r="E563" s="530"/>
      <c r="F563" s="531"/>
      <c r="G563" s="539"/>
      <c r="H563" s="25"/>
      <c r="I563" s="13"/>
      <c r="J563" s="13"/>
      <c r="K563" s="13"/>
      <c r="L563" s="13"/>
      <c r="M563" s="13"/>
    </row>
    <row r="564" spans="1:13" s="107" customFormat="1" ht="13.5" customHeight="1" hidden="1">
      <c r="A564" s="13" t="s">
        <v>148</v>
      </c>
      <c r="B564" s="13" t="s">
        <v>77</v>
      </c>
      <c r="C564" s="821">
        <v>18900</v>
      </c>
      <c r="E564" s="530"/>
      <c r="F564" s="531"/>
      <c r="G564" s="539"/>
      <c r="H564" s="25"/>
      <c r="I564" s="13"/>
      <c r="J564" s="13"/>
      <c r="K564" s="13"/>
      <c r="L564" s="13"/>
      <c r="M564" s="13"/>
    </row>
    <row r="565" spans="1:13" s="107" customFormat="1" ht="13.5" customHeight="1">
      <c r="A565" s="353" t="s">
        <v>122</v>
      </c>
      <c r="B565" s="33" t="s">
        <v>175</v>
      </c>
      <c r="C565" s="33">
        <f>SUM(C566:C567)</f>
        <v>178500</v>
      </c>
      <c r="E565" s="530"/>
      <c r="F565" s="531"/>
      <c r="G565" s="539"/>
      <c r="H565" s="25"/>
      <c r="I565" s="13"/>
      <c r="J565" s="13"/>
      <c r="K565" s="13"/>
      <c r="L565" s="13"/>
      <c r="M565" s="13"/>
    </row>
    <row r="566" spans="1:13" s="107" customFormat="1" ht="13.5" customHeight="1" hidden="1">
      <c r="A566" s="107" t="s">
        <v>150</v>
      </c>
      <c r="B566" s="13" t="s">
        <v>149</v>
      </c>
      <c r="C566" s="821">
        <v>6500</v>
      </c>
      <c r="E566" s="530"/>
      <c r="F566" s="531"/>
      <c r="G566" s="539"/>
      <c r="H566" s="25"/>
      <c r="I566" s="13"/>
      <c r="J566" s="13"/>
      <c r="K566" s="13"/>
      <c r="L566" s="13"/>
      <c r="M566" s="13"/>
    </row>
    <row r="567" spans="1:13" s="107" customFormat="1" ht="13.5" customHeight="1" hidden="1">
      <c r="A567" s="107" t="s">
        <v>174</v>
      </c>
      <c r="B567" s="13" t="s">
        <v>97</v>
      </c>
      <c r="C567" s="821">
        <v>172000</v>
      </c>
      <c r="E567" s="535"/>
      <c r="F567" s="534"/>
      <c r="G567" s="539"/>
      <c r="H567" s="25"/>
      <c r="I567" s="13"/>
      <c r="J567" s="13"/>
      <c r="K567" s="13"/>
      <c r="L567" s="13"/>
      <c r="M567" s="13"/>
    </row>
    <row r="568" spans="1:13" s="107" customFormat="1" ht="13.5" customHeight="1">
      <c r="A568" s="12" t="s">
        <v>123</v>
      </c>
      <c r="B568" s="12" t="s">
        <v>124</v>
      </c>
      <c r="C568" s="33">
        <f>SUM(C569:C571)</f>
        <v>150950</v>
      </c>
      <c r="E568" s="530"/>
      <c r="F568" s="531"/>
      <c r="G568" s="539"/>
      <c r="H568" s="25"/>
      <c r="I568" s="13"/>
      <c r="J568" s="13"/>
      <c r="K568" s="13"/>
      <c r="L568" s="13"/>
      <c r="M568" s="13"/>
    </row>
    <row r="569" spans="1:13" s="107" customFormat="1" ht="13.5" customHeight="1" hidden="1">
      <c r="A569" s="13" t="s">
        <v>58</v>
      </c>
      <c r="B569" s="13" t="s">
        <v>59</v>
      </c>
      <c r="C569" s="821">
        <f>112500-11200</f>
        <v>101300</v>
      </c>
      <c r="E569" s="530"/>
      <c r="F569" s="585"/>
      <c r="G569" s="539"/>
      <c r="H569" s="13"/>
      <c r="I569" s="13"/>
      <c r="J569" s="13"/>
      <c r="K569" s="13"/>
      <c r="L569" s="13"/>
      <c r="M569" s="13"/>
    </row>
    <row r="570" spans="1:13" s="107" customFormat="1" ht="13.5" customHeight="1" hidden="1">
      <c r="A570" s="13" t="s">
        <v>184</v>
      </c>
      <c r="B570" s="13" t="s">
        <v>83</v>
      </c>
      <c r="C570" s="821">
        <v>16500</v>
      </c>
      <c r="E570" s="530"/>
      <c r="F570" s="531"/>
      <c r="G570" s="539"/>
      <c r="H570" s="13"/>
      <c r="I570" s="13"/>
      <c r="J570" s="13"/>
      <c r="K570" s="13"/>
      <c r="L570" s="13"/>
      <c r="M570" s="13"/>
    </row>
    <row r="571" spans="1:13" s="107" customFormat="1" ht="13.5" customHeight="1" hidden="1">
      <c r="A571" s="13" t="s">
        <v>952</v>
      </c>
      <c r="B571" s="57" t="s">
        <v>953</v>
      </c>
      <c r="C571" s="821">
        <v>33150</v>
      </c>
      <c r="E571" s="530"/>
      <c r="F571" s="531"/>
      <c r="G571" s="539"/>
      <c r="H571" s="13"/>
      <c r="I571" s="13"/>
      <c r="J571" s="13"/>
      <c r="K571" s="13"/>
      <c r="L571" s="13"/>
      <c r="M571" s="13"/>
    </row>
    <row r="572" spans="1:13" s="107" customFormat="1" ht="13.5" customHeight="1">
      <c r="A572" s="353" t="s">
        <v>125</v>
      </c>
      <c r="B572" s="33" t="s">
        <v>8</v>
      </c>
      <c r="C572" s="33">
        <f>SUM(C573:C577)</f>
        <v>198700</v>
      </c>
      <c r="E572" s="530"/>
      <c r="F572" s="531"/>
      <c r="G572" s="539"/>
      <c r="H572" s="13"/>
      <c r="I572" s="13"/>
      <c r="J572" s="13"/>
      <c r="K572" s="13"/>
      <c r="L572" s="13"/>
      <c r="M572" s="13"/>
    </row>
    <row r="573" spans="1:10" s="12" customFormat="1" ht="13.5" customHeight="1" hidden="1">
      <c r="A573" s="107" t="s">
        <v>99</v>
      </c>
      <c r="B573" s="25" t="s">
        <v>8</v>
      </c>
      <c r="C573" s="821">
        <f>88700+10000</f>
        <v>98700</v>
      </c>
      <c r="E573" s="535"/>
      <c r="F573" s="534"/>
      <c r="G573" s="539"/>
      <c r="H573" s="13"/>
      <c r="I573" s="13"/>
      <c r="J573" s="13"/>
    </row>
    <row r="574" spans="1:13" s="107" customFormat="1" ht="13.5" customHeight="1" hidden="1">
      <c r="A574" s="107" t="s">
        <v>205</v>
      </c>
      <c r="B574" s="25" t="s">
        <v>54</v>
      </c>
      <c r="C574" s="821">
        <v>5000</v>
      </c>
      <c r="F574" s="531"/>
      <c r="G574" s="539"/>
      <c r="H574" s="13"/>
      <c r="I574" s="13"/>
      <c r="J574" s="13"/>
      <c r="K574" s="13"/>
      <c r="L574" s="13"/>
      <c r="M574" s="13"/>
    </row>
    <row r="575" spans="1:13" s="107" customFormat="1" ht="13.5" customHeight="1" hidden="1">
      <c r="A575" s="107" t="s">
        <v>266</v>
      </c>
      <c r="B575" s="13" t="s">
        <v>265</v>
      </c>
      <c r="C575" s="821">
        <v>90000</v>
      </c>
      <c r="E575" s="531"/>
      <c r="F575" s="13"/>
      <c r="G575" s="539"/>
      <c r="H575" s="13"/>
      <c r="I575" s="13"/>
      <c r="J575" s="13"/>
      <c r="K575" s="13"/>
      <c r="L575" s="13"/>
      <c r="M575" s="13"/>
    </row>
    <row r="576" spans="1:13" s="107" customFormat="1" ht="13.5" customHeight="1" hidden="1">
      <c r="A576" s="107" t="s">
        <v>242</v>
      </c>
      <c r="B576" s="57" t="s">
        <v>241</v>
      </c>
      <c r="C576" s="809">
        <v>0</v>
      </c>
      <c r="E576" s="531"/>
      <c r="F576" s="535"/>
      <c r="G576" s="539"/>
      <c r="H576" s="12"/>
      <c r="I576" s="12"/>
      <c r="J576" s="12"/>
      <c r="K576" s="13"/>
      <c r="L576" s="13"/>
      <c r="M576" s="13"/>
    </row>
    <row r="577" spans="1:13" s="107" customFormat="1" ht="13.5" customHeight="1" hidden="1">
      <c r="A577" s="107" t="s">
        <v>100</v>
      </c>
      <c r="B577" s="25" t="s">
        <v>7</v>
      </c>
      <c r="C577" s="821">
        <v>5000</v>
      </c>
      <c r="D577" s="660"/>
      <c r="E577" s="530"/>
      <c r="F577" s="659"/>
      <c r="G577" s="539"/>
      <c r="H577" s="13"/>
      <c r="I577" s="13"/>
      <c r="J577" s="25"/>
      <c r="K577" s="13"/>
      <c r="L577" s="13"/>
      <c r="M577" s="13"/>
    </row>
    <row r="578" spans="2:13" s="107" customFormat="1" ht="13.5" customHeight="1" thickBot="1">
      <c r="B578" s="25"/>
      <c r="C578" s="24"/>
      <c r="D578" s="661"/>
      <c r="E578" s="531"/>
      <c r="F578" s="659"/>
      <c r="G578" s="539"/>
      <c r="H578" s="13"/>
      <c r="I578" s="13"/>
      <c r="J578" s="13"/>
      <c r="K578" s="13"/>
      <c r="L578" s="13"/>
      <c r="M578" s="13"/>
    </row>
    <row r="579" spans="1:10" ht="14.25" thickBot="1">
      <c r="A579" s="953" t="s">
        <v>5</v>
      </c>
      <c r="B579" s="954"/>
      <c r="C579" s="37">
        <f>C580</f>
        <v>31000</v>
      </c>
      <c r="F579" s="659"/>
      <c r="G579" s="208"/>
      <c r="H579" s="208"/>
      <c r="I579" s="208"/>
      <c r="J579" s="208"/>
    </row>
    <row r="580" spans="1:10" s="527" customFormat="1" ht="13.5">
      <c r="A580" s="353" t="s">
        <v>139</v>
      </c>
      <c r="B580" s="404" t="s">
        <v>140</v>
      </c>
      <c r="C580" s="34">
        <f>SUM(C581:C582)</f>
        <v>31000</v>
      </c>
      <c r="D580" s="526"/>
      <c r="E580" s="526"/>
      <c r="F580" s="535"/>
      <c r="G580" s="529"/>
      <c r="H580" s="529"/>
      <c r="I580" s="529"/>
      <c r="J580" s="529"/>
    </row>
    <row r="581" spans="1:10" s="527" customFormat="1" ht="13.5" hidden="1">
      <c r="A581" s="107" t="s">
        <v>929</v>
      </c>
      <c r="B581" s="57" t="s">
        <v>930</v>
      </c>
      <c r="C581" s="824">
        <v>20500</v>
      </c>
      <c r="D581" s="526"/>
      <c r="E581" s="526"/>
      <c r="F581" s="535"/>
      <c r="G581" s="529"/>
      <c r="H581" s="529"/>
      <c r="I581" s="529"/>
      <c r="J581" s="529"/>
    </row>
    <row r="582" spans="1:10" ht="13.5" hidden="1">
      <c r="A582" s="107" t="s">
        <v>157</v>
      </c>
      <c r="B582" s="107" t="s">
        <v>12</v>
      </c>
      <c r="C582" s="821">
        <v>10500</v>
      </c>
      <c r="D582" s="579"/>
      <c r="F582" s="659"/>
      <c r="G582" s="208"/>
      <c r="H582" s="208"/>
      <c r="I582" s="208"/>
      <c r="J582" s="208"/>
    </row>
    <row r="583" spans="1:10" ht="14.25" thickBot="1">
      <c r="A583" s="107"/>
      <c r="B583" s="107"/>
      <c r="C583" s="24"/>
      <c r="D583" s="579"/>
      <c r="F583" s="659"/>
      <c r="G583" s="208"/>
      <c r="H583" s="208"/>
      <c r="I583" s="208"/>
      <c r="J583" s="208"/>
    </row>
    <row r="584" spans="1:10" ht="14.25" thickBot="1">
      <c r="A584" s="951" t="s">
        <v>4</v>
      </c>
      <c r="B584" s="952"/>
      <c r="C584" s="32">
        <f>C585+C588+C590</f>
        <v>120850</v>
      </c>
      <c r="D584" s="3"/>
      <c r="F584" s="837"/>
      <c r="G584" s="208"/>
      <c r="H584" s="208"/>
      <c r="I584" s="208"/>
      <c r="J584" s="208"/>
    </row>
    <row r="585" spans="1:10" s="527" customFormat="1" ht="13.5">
      <c r="A585" s="353" t="s">
        <v>126</v>
      </c>
      <c r="B585" s="404" t="s">
        <v>127</v>
      </c>
      <c r="C585" s="34">
        <f>SUM(C586:C587)</f>
        <v>38850</v>
      </c>
      <c r="E585" s="526"/>
      <c r="F585" s="837"/>
      <c r="G585" s="529"/>
      <c r="H585" s="529"/>
      <c r="I585" s="529"/>
      <c r="J585" s="529"/>
    </row>
    <row r="586" spans="1:13" s="5" customFormat="1" ht="13.5" hidden="1">
      <c r="A586" s="107" t="s">
        <v>101</v>
      </c>
      <c r="B586" s="107" t="s">
        <v>152</v>
      </c>
      <c r="C586" s="821">
        <f>31600-8000</f>
        <v>23600</v>
      </c>
      <c r="E586" s="530"/>
      <c r="F586" s="939"/>
      <c r="G586" s="575"/>
      <c r="H586" s="208"/>
      <c r="I586" s="208"/>
      <c r="J586" s="208"/>
      <c r="K586" s="208"/>
      <c r="L586" s="208"/>
      <c r="M586" s="208"/>
    </row>
    <row r="587" spans="1:10" ht="13.5" hidden="1">
      <c r="A587" s="107" t="s">
        <v>62</v>
      </c>
      <c r="B587" s="13" t="s">
        <v>63</v>
      </c>
      <c r="C587" s="826">
        <v>15250</v>
      </c>
      <c r="F587" s="837"/>
      <c r="G587" s="208"/>
      <c r="H587" s="208"/>
      <c r="I587" s="208"/>
      <c r="J587" s="208"/>
    </row>
    <row r="588" spans="1:10" ht="13.5">
      <c r="A588" s="353" t="s">
        <v>128</v>
      </c>
      <c r="B588" s="12" t="s">
        <v>141</v>
      </c>
      <c r="C588" s="28">
        <f>SUM(C589)</f>
        <v>70000</v>
      </c>
      <c r="F588" s="939"/>
      <c r="G588" s="208"/>
      <c r="H588" s="208"/>
      <c r="I588" s="208"/>
      <c r="J588" s="208"/>
    </row>
    <row r="589" spans="1:10" ht="13.5" hidden="1">
      <c r="A589" s="107" t="s">
        <v>981</v>
      </c>
      <c r="B589" s="13" t="s">
        <v>982</v>
      </c>
      <c r="C589" s="826">
        <f>120000-50000</f>
        <v>70000</v>
      </c>
      <c r="F589" s="940"/>
      <c r="G589" s="208"/>
      <c r="H589" s="208"/>
      <c r="I589" s="208"/>
      <c r="J589" s="208"/>
    </row>
    <row r="590" spans="1:10" ht="13.5">
      <c r="A590" s="353" t="s">
        <v>188</v>
      </c>
      <c r="B590" s="26" t="s">
        <v>145</v>
      </c>
      <c r="C590" s="28">
        <f>SUM(C591)</f>
        <v>12000</v>
      </c>
      <c r="F590" s="659"/>
      <c r="G590" s="208"/>
      <c r="H590" s="208"/>
      <c r="I590" s="208"/>
      <c r="J590" s="208"/>
    </row>
    <row r="591" spans="1:13" s="5" customFormat="1" ht="13.5" hidden="1">
      <c r="A591" s="107" t="s">
        <v>189</v>
      </c>
      <c r="B591" s="24" t="s">
        <v>56</v>
      </c>
      <c r="C591" s="821">
        <v>12000</v>
      </c>
      <c r="E591" s="530"/>
      <c r="F591" s="659"/>
      <c r="G591" s="575"/>
      <c r="H591" s="208"/>
      <c r="I591" s="208"/>
      <c r="J591" s="208"/>
      <c r="K591" s="208"/>
      <c r="L591" s="208"/>
      <c r="M591" s="208"/>
    </row>
    <row r="592" spans="1:13" s="5" customFormat="1" ht="13.5">
      <c r="A592" s="107"/>
      <c r="B592" s="24"/>
      <c r="C592" s="25"/>
      <c r="E592" s="530"/>
      <c r="F592" s="659"/>
      <c r="G592" s="575"/>
      <c r="H592" s="208"/>
      <c r="I592" s="208"/>
      <c r="J592" s="208"/>
      <c r="K592" s="208"/>
      <c r="L592" s="208"/>
      <c r="M592" s="208"/>
    </row>
    <row r="593" spans="1:13" s="5" customFormat="1" ht="13.5">
      <c r="A593" s="107"/>
      <c r="B593" s="24"/>
      <c r="C593" s="25"/>
      <c r="E593" s="530"/>
      <c r="F593" s="659"/>
      <c r="G593" s="575"/>
      <c r="H593" s="208"/>
      <c r="I593" s="208"/>
      <c r="J593" s="208"/>
      <c r="K593" s="208"/>
      <c r="L593" s="208"/>
      <c r="M593" s="208"/>
    </row>
  </sheetData>
  <sheetProtection/>
  <mergeCells count="30">
    <mergeCell ref="A17:B17"/>
    <mergeCell ref="A40:B40"/>
    <mergeCell ref="A55:B55"/>
    <mergeCell ref="A75:B75"/>
    <mergeCell ref="A80:B80"/>
    <mergeCell ref="A114:B114"/>
    <mergeCell ref="A131:B131"/>
    <mergeCell ref="A151:B151"/>
    <mergeCell ref="A161:B161"/>
    <mergeCell ref="A183:B183"/>
    <mergeCell ref="A208:B208"/>
    <mergeCell ref="A227:B227"/>
    <mergeCell ref="A258:B258"/>
    <mergeCell ref="A278:B278"/>
    <mergeCell ref="A301:B301"/>
    <mergeCell ref="A331:B331"/>
    <mergeCell ref="A359:B359"/>
    <mergeCell ref="A385:B385"/>
    <mergeCell ref="A417:B417"/>
    <mergeCell ref="A436:B436"/>
    <mergeCell ref="A456:B456"/>
    <mergeCell ref="A461:B461"/>
    <mergeCell ref="A487:B487"/>
    <mergeCell ref="A502:B502"/>
    <mergeCell ref="A520:B520"/>
    <mergeCell ref="A524:B524"/>
    <mergeCell ref="A545:B545"/>
    <mergeCell ref="A560:B560"/>
    <mergeCell ref="A579:B579"/>
    <mergeCell ref="A584:B584"/>
  </mergeCells>
  <printOptions/>
  <pageMargins left="0.7874015748031497" right="0.1968503937007874" top="0.7874015748031497" bottom="0.7874015748031497" header="0.3937007874015748" footer="0.1968503937007874"/>
  <pageSetup horizontalDpi="720" verticalDpi="720" orientation="portrait" paperSize="9" r:id="rId1"/>
  <headerFooter>
    <oddHeader>&amp;L&amp;"Arial Narrow,Normal"&amp;8Presupuesto Municipal 2016&amp;R&amp;"Arial Narrow,Normal"&amp;8MUNICIPALIDAD VILLA MARÍA
Secretaría de Economía y Administración</oddHeader>
    <oddFooter>&amp;C&amp;"Arial Narrow,Normal"&amp;8Universidad Popular
Página &amp;P de &amp;N</oddFooter>
  </headerFooter>
  <rowBreaks count="5" manualBreakCount="5">
    <brk id="87" max="255" man="1"/>
    <brk id="168" max="255" man="1"/>
    <brk id="358" max="255" man="1"/>
    <brk id="460" max="255" man="1"/>
    <brk id="5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m_gutierrez</dc:creator>
  <cp:keywords/>
  <dc:description/>
  <cp:lastModifiedBy>usuario</cp:lastModifiedBy>
  <cp:lastPrinted>2015-12-01T12:34:19Z</cp:lastPrinted>
  <dcterms:created xsi:type="dcterms:W3CDTF">2009-09-23T19:04:36Z</dcterms:created>
  <dcterms:modified xsi:type="dcterms:W3CDTF">2016-03-02T16:07:31Z</dcterms:modified>
  <cp:category/>
  <cp:version/>
  <cp:contentType/>
  <cp:contentStatus/>
</cp:coreProperties>
</file>